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Contabilidad\CONTABILIDAD 2026\Envios SNS\Marzo\"/>
    </mc:Choice>
  </mc:AlternateContent>
  <xr:revisionPtr revIDLastSave="0" documentId="13_ncr:1_{FFB4DFF8-8C4E-4986-B398-2FD41FE710CB}" xr6:coauthVersionLast="47" xr6:coauthVersionMax="47" xr10:uidLastSave="{00000000-0000-0000-0000-000000000000}"/>
  <bookViews>
    <workbookView xWindow="-120" yWindow="-120" windowWidth="29040" windowHeight="15840" xr2:uid="{1225D748-5849-4DB9-991E-BB2C5F83AD17}"/>
  </bookViews>
  <sheets>
    <sheet name="Marzo" sheetId="1" r:id="rId1"/>
  </sheets>
  <definedNames>
    <definedName name="_xlnm.Print_Area" localSheetId="0">Marzo!$A$1:$AD$154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46" i="1" l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E146" i="1"/>
  <c r="K145" i="1"/>
  <c r="H145" i="1"/>
  <c r="F145" i="1"/>
  <c r="AD145" i="1" s="1"/>
  <c r="AD144" i="1"/>
  <c r="AD143" i="1"/>
  <c r="J142" i="1"/>
  <c r="AD142" i="1" s="1"/>
  <c r="AD141" i="1"/>
  <c r="AD140" i="1"/>
  <c r="F139" i="1"/>
  <c r="AD139" i="1" s="1"/>
  <c r="AD138" i="1"/>
  <c r="AD137" i="1"/>
  <c r="AD136" i="1"/>
  <c r="AD135" i="1"/>
  <c r="J134" i="1"/>
  <c r="AD134" i="1" s="1"/>
  <c r="J133" i="1"/>
  <c r="H133" i="1"/>
  <c r="F133" i="1"/>
  <c r="AD133" i="1" s="1"/>
  <c r="AD132" i="1"/>
  <c r="AD131" i="1"/>
  <c r="J130" i="1"/>
  <c r="F130" i="1"/>
  <c r="AD130" i="1" s="1"/>
  <c r="H129" i="1"/>
  <c r="AD129" i="1" s="1"/>
  <c r="AD128" i="1"/>
  <c r="J128" i="1"/>
  <c r="H128" i="1"/>
  <c r="F128" i="1"/>
  <c r="J127" i="1"/>
  <c r="AD127" i="1" s="1"/>
  <c r="AD126" i="1"/>
  <c r="AD125" i="1"/>
  <c r="AD124" i="1"/>
  <c r="J123" i="1"/>
  <c r="AD123" i="1" s="1"/>
  <c r="K122" i="1"/>
  <c r="AD122" i="1" s="1"/>
  <c r="J122" i="1"/>
  <c r="H122" i="1"/>
  <c r="F122" i="1"/>
  <c r="J121" i="1"/>
  <c r="AD121" i="1" s="1"/>
  <c r="AD120" i="1"/>
  <c r="AD119" i="1"/>
  <c r="K118" i="1"/>
  <c r="J118" i="1"/>
  <c r="H118" i="1"/>
  <c r="F118" i="1"/>
  <c r="AD118" i="1" s="1"/>
  <c r="AD117" i="1"/>
  <c r="AD116" i="1"/>
  <c r="AD115" i="1"/>
  <c r="AD114" i="1"/>
  <c r="AD113" i="1"/>
  <c r="AD112" i="1"/>
  <c r="AD111" i="1"/>
  <c r="K111" i="1"/>
  <c r="AD110" i="1"/>
  <c r="AD109" i="1"/>
  <c r="AD108" i="1"/>
  <c r="AD107" i="1"/>
  <c r="AD106" i="1"/>
  <c r="F105" i="1"/>
  <c r="AD105" i="1" s="1"/>
  <c r="AD104" i="1"/>
  <c r="AD103" i="1"/>
  <c r="AD102" i="1"/>
  <c r="AD101" i="1"/>
  <c r="K100" i="1"/>
  <c r="J100" i="1"/>
  <c r="H100" i="1"/>
  <c r="F100" i="1"/>
  <c r="AD100" i="1" s="1"/>
  <c r="AD99" i="1"/>
  <c r="AD98" i="1"/>
  <c r="AD97" i="1"/>
  <c r="H96" i="1"/>
  <c r="AD96" i="1" s="1"/>
  <c r="AD95" i="1"/>
  <c r="J95" i="1"/>
  <c r="H95" i="1"/>
  <c r="F95" i="1"/>
  <c r="AD94" i="1"/>
  <c r="K93" i="1"/>
  <c r="F93" i="1"/>
  <c r="AD93" i="1" s="1"/>
  <c r="AD92" i="1"/>
  <c r="J91" i="1"/>
  <c r="H91" i="1"/>
  <c r="AD91" i="1" s="1"/>
  <c r="AD90" i="1"/>
  <c r="AD89" i="1"/>
  <c r="AD88" i="1"/>
  <c r="F87" i="1"/>
  <c r="AD87" i="1" s="1"/>
  <c r="AD86" i="1"/>
  <c r="AD85" i="1"/>
  <c r="AD84" i="1"/>
  <c r="H84" i="1"/>
  <c r="AD83" i="1"/>
  <c r="AD82" i="1"/>
  <c r="F81" i="1"/>
  <c r="AD81" i="1" s="1"/>
  <c r="AD80" i="1"/>
  <c r="F80" i="1"/>
  <c r="AD79" i="1"/>
  <c r="AD77" i="1"/>
  <c r="AD76" i="1"/>
  <c r="AD75" i="1"/>
  <c r="AD74" i="1"/>
  <c r="AD73" i="1"/>
  <c r="AD72" i="1"/>
  <c r="AD71" i="1"/>
  <c r="J70" i="1"/>
  <c r="H70" i="1"/>
  <c r="AD70" i="1" s="1"/>
  <c r="F70" i="1"/>
  <c r="J69" i="1"/>
  <c r="F69" i="1"/>
  <c r="AD69" i="1" s="1"/>
  <c r="AD68" i="1"/>
  <c r="AD67" i="1"/>
  <c r="K66" i="1"/>
  <c r="J66" i="1"/>
  <c r="H66" i="1"/>
  <c r="F66" i="1"/>
  <c r="AD66" i="1" s="1"/>
  <c r="AD65" i="1"/>
  <c r="J65" i="1"/>
  <c r="F64" i="1"/>
  <c r="AD64" i="1" s="1"/>
  <c r="AD63" i="1"/>
  <c r="AD62" i="1"/>
  <c r="AD61" i="1"/>
  <c r="AD60" i="1"/>
  <c r="AD59" i="1"/>
  <c r="AD58" i="1"/>
  <c r="AD57" i="1"/>
  <c r="AD56" i="1"/>
  <c r="AD55" i="1"/>
  <c r="F55" i="1"/>
  <c r="J54" i="1"/>
  <c r="F54" i="1"/>
  <c r="AD54" i="1" s="1"/>
  <c r="AD53" i="1"/>
  <c r="AD52" i="1"/>
  <c r="AD51" i="1"/>
  <c r="AD50" i="1"/>
  <c r="AD49" i="1"/>
  <c r="AD48" i="1"/>
  <c r="AD47" i="1"/>
  <c r="AD46" i="1"/>
  <c r="AD45" i="1"/>
  <c r="AD44" i="1"/>
  <c r="K43" i="1"/>
  <c r="J43" i="1"/>
  <c r="F43" i="1"/>
  <c r="AD43" i="1" s="1"/>
  <c r="AD42" i="1"/>
  <c r="AD41" i="1"/>
  <c r="AD40" i="1"/>
  <c r="AD39" i="1"/>
  <c r="AD38" i="1"/>
  <c r="I38" i="1"/>
  <c r="AD37" i="1"/>
  <c r="H36" i="1"/>
  <c r="AD36" i="1" s="1"/>
  <c r="AD35" i="1"/>
  <c r="K34" i="1"/>
  <c r="J34" i="1"/>
  <c r="I34" i="1"/>
  <c r="H34" i="1"/>
  <c r="G34" i="1"/>
  <c r="G146" i="1" s="1"/>
  <c r="F34" i="1"/>
  <c r="AD34" i="1" s="1"/>
  <c r="AD33" i="1"/>
  <c r="K32" i="1"/>
  <c r="J32" i="1"/>
  <c r="F32" i="1"/>
  <c r="AD32" i="1" s="1"/>
  <c r="J31" i="1"/>
  <c r="AD31" i="1" s="1"/>
  <c r="AD30" i="1"/>
  <c r="K30" i="1"/>
  <c r="F30" i="1"/>
  <c r="AD29" i="1"/>
  <c r="AD28" i="1"/>
  <c r="AD27" i="1"/>
  <c r="AD26" i="1"/>
  <c r="F25" i="1"/>
  <c r="AD25" i="1" s="1"/>
  <c r="AD24" i="1"/>
  <c r="AD23" i="1"/>
  <c r="AD22" i="1"/>
  <c r="K21" i="1"/>
  <c r="J21" i="1"/>
  <c r="H21" i="1"/>
  <c r="F21" i="1"/>
  <c r="AD21" i="1" s="1"/>
  <c r="AD20" i="1"/>
  <c r="K20" i="1"/>
  <c r="F20" i="1"/>
  <c r="K19" i="1"/>
  <c r="AD19" i="1" s="1"/>
  <c r="AD18" i="1"/>
  <c r="AD17" i="1"/>
  <c r="K17" i="1"/>
  <c r="J17" i="1"/>
  <c r="J16" i="1"/>
  <c r="AD16" i="1" s="1"/>
  <c r="K15" i="1"/>
  <c r="AD15" i="1" s="1"/>
  <c r="AD14" i="1"/>
  <c r="H14" i="1"/>
  <c r="AD13" i="1"/>
  <c r="K12" i="1"/>
  <c r="J12" i="1"/>
  <c r="H12" i="1"/>
  <c r="AD12" i="1" s="1"/>
  <c r="F12" i="1"/>
  <c r="K11" i="1"/>
  <c r="J11" i="1"/>
  <c r="H11" i="1"/>
  <c r="F11" i="1"/>
  <c r="AD11" i="1" s="1"/>
  <c r="K10" i="1"/>
  <c r="J10" i="1"/>
  <c r="H10" i="1"/>
  <c r="F10" i="1"/>
  <c r="AD10" i="1" s="1"/>
  <c r="K9" i="1"/>
  <c r="J9" i="1"/>
  <c r="H9" i="1"/>
  <c r="F9" i="1"/>
  <c r="F146" i="1" s="1"/>
  <c r="AD8" i="1"/>
  <c r="K8" i="1"/>
  <c r="K146" i="1" s="1"/>
  <c r="J8" i="1"/>
  <c r="J146" i="1" s="1"/>
  <c r="I8" i="1"/>
  <c r="I146" i="1" s="1"/>
  <c r="H8" i="1"/>
  <c r="H146" i="1" s="1"/>
  <c r="AF148" i="1" s="1"/>
  <c r="AD9" i="1" l="1"/>
  <c r="AD146" i="1" s="1"/>
  <c r="AF150" i="1" l="1"/>
  <c r="AF146" i="1"/>
  <c r="AG146" i="1" s="1"/>
  <c r="AK148" i="1"/>
  <c r="AI148" i="1"/>
  <c r="AJ148" i="1" s="1"/>
</calcChain>
</file>

<file path=xl/sharedStrings.xml><?xml version="1.0" encoding="utf-8"?>
<sst xmlns="http://schemas.openxmlformats.org/spreadsheetml/2006/main" count="457" uniqueCount="278">
  <si>
    <t xml:space="preserve">SERVICIO NACIONAL DE SALUD </t>
  </si>
  <si>
    <t xml:space="preserve">DIRECCION DE FISCALIZACION Y CONTROL </t>
  </si>
  <si>
    <t>COMPROMISO DE DEUDAS 2026</t>
  </si>
  <si>
    <t>ESTABLECIMIENTO:  HOSPITAL REGIONAL ING. LUIS L. BOGAERT</t>
  </si>
  <si>
    <t>NO</t>
  </si>
  <si>
    <t xml:space="preserve">NOMBRES PROVEEDOR  </t>
  </si>
  <si>
    <t xml:space="preserve">CONCEPTO DE COMPRA ( BREVE DESCRIPCION ) </t>
  </si>
  <si>
    <t>FUENTE DE FINANCIAMIENTO</t>
  </si>
  <si>
    <t>Gasto al 31/12/2025</t>
  </si>
  <si>
    <t>Gasto al 31/01/2026</t>
  </si>
  <si>
    <t>Pagos al 31/01/2026</t>
  </si>
  <si>
    <t>Gasto al 28/02/2026</t>
  </si>
  <si>
    <t>Pagos al 28/02/2026</t>
  </si>
  <si>
    <t>Gasto al 31/03/2026</t>
  </si>
  <si>
    <t>Pagos al 31/03/2026</t>
  </si>
  <si>
    <t>Gasto al 30/04/2026</t>
  </si>
  <si>
    <t>Pagos al 30/04/2026</t>
  </si>
  <si>
    <t>Gasto al 31/05/2026</t>
  </si>
  <si>
    <t>Pagos al 31/05/2026</t>
  </si>
  <si>
    <t>Gasto al 30/06/2026</t>
  </si>
  <si>
    <t>Pagos al 30/06/2026</t>
  </si>
  <si>
    <t>Gasto al 31/07/2026</t>
  </si>
  <si>
    <t>Pagos al 31/07/2026</t>
  </si>
  <si>
    <t>Gasto al 31/08/2026</t>
  </si>
  <si>
    <t>Pagos al 31/08/2026</t>
  </si>
  <si>
    <t>Gasto al 30/09/2026</t>
  </si>
  <si>
    <t>Pagos al 30/09/2026</t>
  </si>
  <si>
    <t>Gasto al 31/10/2026</t>
  </si>
  <si>
    <t>Pagos al 31/10/2026</t>
  </si>
  <si>
    <t>Gasto al 30/11/2026</t>
  </si>
  <si>
    <t>Pagos al 30/11/2026</t>
  </si>
  <si>
    <t>Gasto al 31/12/2026</t>
  </si>
  <si>
    <t>Pagos al 31/12/2026</t>
  </si>
  <si>
    <t>TOTAL DEUDA</t>
  </si>
  <si>
    <t>A &amp;M PLOMERIA Y ELECTRICIDAD</t>
  </si>
  <si>
    <t>MATERIALES FERRETEROS</t>
  </si>
  <si>
    <t>VS</t>
  </si>
  <si>
    <t>ABREU LANTIGUA EVENTOS</t>
  </si>
  <si>
    <t>ALIMENTOS</t>
  </si>
  <si>
    <t>AGROFEN</t>
  </si>
  <si>
    <t>AGUA FARES</t>
  </si>
  <si>
    <t>AGUA</t>
  </si>
  <si>
    <t>ALMANZAR ESTEVEZ,SRL</t>
  </si>
  <si>
    <t>REACTIVO DE LABORATORIO</t>
  </si>
  <si>
    <t>F.O</t>
  </si>
  <si>
    <t>ALQUILERES JEREZ</t>
  </si>
  <si>
    <t>ALQUILERES DE SILLAS</t>
  </si>
  <si>
    <t>Altice Dominicana, S.A.</t>
  </si>
  <si>
    <t>TELEFONO</t>
  </si>
  <si>
    <t>ANGLO AMERICANA DE SEGUROS</t>
  </si>
  <si>
    <t>POLIZA DE RESPONSABILIDAD CIVIL</t>
  </si>
  <si>
    <t>ARCADIO ESPINAL</t>
  </si>
  <si>
    <t>SUM.REFRIGERACION</t>
  </si>
  <si>
    <t>ARGOS FARMACEUTCA, SRL</t>
  </si>
  <si>
    <t>MEDICAMENTOS</t>
  </si>
  <si>
    <t>FR</t>
  </si>
  <si>
    <t>AYUNTAMIENTO MUNICIPAL</t>
  </si>
  <si>
    <t>ARBITRIO MUNICIPAL POR REC.BASURA</t>
  </si>
  <si>
    <t>BANDERAS GLOBAL HC, SRL</t>
  </si>
  <si>
    <t>BANDERAS</t>
  </si>
  <si>
    <t>BIO-NOVA</t>
  </si>
  <si>
    <t>SUMINISTRO DE LABORATORIO</t>
  </si>
  <si>
    <t>BIONUCLEAR</t>
  </si>
  <si>
    <t>BP MEDICAL, SA</t>
  </si>
  <si>
    <t>SERVICIOS Y MANTENIMIENTOS EQ. MEDICOS</t>
  </si>
  <si>
    <t>BRICOM, SRL</t>
  </si>
  <si>
    <t>SUMINISTRO DE OFICINA</t>
  </si>
  <si>
    <t>CAMESUP,SRL</t>
  </si>
  <si>
    <t>SUMINISTRO QUIRURGICO</t>
  </si>
  <si>
    <t>CARLOS OVIDIO GENAO BUENO</t>
  </si>
  <si>
    <t>CARNICERIA DARIO</t>
  </si>
  <si>
    <t>CARNES DE CERDO Y RES</t>
  </si>
  <si>
    <t>CELCA DISPLAY, SRL</t>
  </si>
  <si>
    <t>CAUNTER</t>
  </si>
  <si>
    <t>CENTRO MEDICO</t>
  </si>
  <si>
    <t>CENTRO PLAZA LA FERIA</t>
  </si>
  <si>
    <t>ELECTRODOMESTICO</t>
  </si>
  <si>
    <t>CETIOSA</t>
  </si>
  <si>
    <t>COMBUSTIBLES</t>
  </si>
  <si>
    <t>CIRCUIMED</t>
  </si>
  <si>
    <t>EQUIPO MEDICO</t>
  </si>
  <si>
    <t>COMBUSTIBLE DEL YUNA, SRL</t>
  </si>
  <si>
    <t>GLP</t>
  </si>
  <si>
    <t>COMPAÑÍA COMERCIAL CARIBE, SAS</t>
  </si>
  <si>
    <t>MATERIALES DE OFICINA</t>
  </si>
  <si>
    <t>COMPAÑÍA DOMINICANA DE TELEFONOS. SA</t>
  </si>
  <si>
    <t>COMPUTINTA</t>
  </si>
  <si>
    <t>MATERIAL DE INFORAMATICA</t>
  </si>
  <si>
    <t>CONFORMATIC, SRL</t>
  </si>
  <si>
    <t>EQUIPO DE REFRIGERACION</t>
  </si>
  <si>
    <t>CONSTUESPACIO TC, SRL</t>
  </si>
  <si>
    <t>REPARACION Y PINTURA</t>
  </si>
  <si>
    <t>CRISTIAN JOSE GUABA</t>
  </si>
  <si>
    <t xml:space="preserve">REPARACION </t>
  </si>
  <si>
    <t>CRISTINA MARITZA PEÑA FORTUNA</t>
  </si>
  <si>
    <t>SERVICIOS DE AUDITORIA DE FACTURACION</t>
  </si>
  <si>
    <t>DALTON PERALTA</t>
  </si>
  <si>
    <t>ALQUILER DE TRANSPORTE</t>
  </si>
  <si>
    <t>DAVELBA TOURS, SRL</t>
  </si>
  <si>
    <t>SEVICIOS DE CAPACITACION Y SALON DE ACTOS</t>
  </si>
  <si>
    <t>DE LOS SANTOS, SRL</t>
  </si>
  <si>
    <t>EQUIPO DE ODONTOLOGIA</t>
  </si>
  <si>
    <t>DEBELL STORE, EIRL</t>
  </si>
  <si>
    <t>MATERIALES ELECTRICOS</t>
  </si>
  <si>
    <t>DELMEDICAL, SRL</t>
  </si>
  <si>
    <t>DIMEDOM, SRL</t>
  </si>
  <si>
    <t>MATERIAL QUIRURGICO</t>
  </si>
  <si>
    <t>DISTRIBUIDORA DE MAT. DE RAYOS X</t>
  </si>
  <si>
    <t>RAYOS X</t>
  </si>
  <si>
    <t>EDITORA PUNTO CENTRAL</t>
  </si>
  <si>
    <t>MAT. DE IMPRESIÓN</t>
  </si>
  <si>
    <t>ELECTRICIDAD CARLOS GOMEZ</t>
  </si>
  <si>
    <t>SERVICIOS Y MANT. Y REPARACIONES DE CONST.</t>
  </si>
  <si>
    <t>ELECTROM</t>
  </si>
  <si>
    <t>MANTENIMIENTO</t>
  </si>
  <si>
    <t>EL PRIMO COMERCIAL, SRL</t>
  </si>
  <si>
    <t>ELECTRODOMESTICOS</t>
  </si>
  <si>
    <t>EPX DOMINICANA</t>
  </si>
  <si>
    <t>ENDOSCOPY MEDICAL SYSTEMS</t>
  </si>
  <si>
    <t>EVELYN FLOR</t>
  </si>
  <si>
    <t>SUM.FLORES DIA DE DUARTE</t>
  </si>
  <si>
    <t>FARACH</t>
  </si>
  <si>
    <t>FARMACIA ELYFIOR</t>
  </si>
  <si>
    <t>FARMACONAL, SA</t>
  </si>
  <si>
    <t>INSUMOS QUIRURGICO</t>
  </si>
  <si>
    <t>FERRECENTRO LIONA, EIRL</t>
  </si>
  <si>
    <t>FERRETERIA</t>
  </si>
  <si>
    <t>FHEYAMS SERVICES</t>
  </si>
  <si>
    <t>TEXTILES</t>
  </si>
  <si>
    <t>FOOD COURT MOREL</t>
  </si>
  <si>
    <t>FRANKLIN URBANO HIERRO</t>
  </si>
  <si>
    <t>JURIDICO</t>
  </si>
  <si>
    <t>G3 INDUSTRIAL, SRL</t>
  </si>
  <si>
    <t>PAPEL DE ESCRITORIO</t>
  </si>
  <si>
    <t>GESTIONES SANITARIAS &amp; AMBIENTALES (GESA), SRL</t>
  </si>
  <si>
    <t xml:space="preserve">CULTIVO </t>
  </si>
  <si>
    <t>GRAFINOR</t>
  </si>
  <si>
    <t>IMPRESOS</t>
  </si>
  <si>
    <t>GRUPO FARMACEUTICO CAR-M</t>
  </si>
  <si>
    <t>FO</t>
  </si>
  <si>
    <t>HATICO AGROINDUSTRIAL, SRL</t>
  </si>
  <si>
    <t>HEXAPOWER PHARMA, SRL</t>
  </si>
  <si>
    <t>HNOS.PIMENTEL</t>
  </si>
  <si>
    <t>HOSPICALFA MEDICAL, SRL</t>
  </si>
  <si>
    <t>HOSPIFAR</t>
  </si>
  <si>
    <t>IMPRENTA REYES CABRERA</t>
  </si>
  <si>
    <t>IMPRESOS Y MAT. DE OFICNAS</t>
  </si>
  <si>
    <t>IMPRESOS DIVERSOS</t>
  </si>
  <si>
    <t>IMPRESOS R&amp;R</t>
  </si>
  <si>
    <t>INSTITUTO NACIONAL DE AGUAS POTABLES Y ALCANTARILLADO (INAPA)</t>
  </si>
  <si>
    <t>F.O.</t>
  </si>
  <si>
    <t>JACKSON BUENO</t>
  </si>
  <si>
    <t>SERVICIOS DE ALQUILER</t>
  </si>
  <si>
    <t>JOSE ANTONIO MARRERO</t>
  </si>
  <si>
    <t>CONFECCION DE LLAVES</t>
  </si>
  <si>
    <t>JOSE FERNANDEZ</t>
  </si>
  <si>
    <t>MANT.EQ.LABORATORIO</t>
  </si>
  <si>
    <t>JOSE LUIS GONZALEZ ROSARIO</t>
  </si>
  <si>
    <t>MANTENIMIENTO EQP. ODONTOLOGIA</t>
  </si>
  <si>
    <t>JUAN GILBERTO SEVERINO</t>
  </si>
  <si>
    <t>GASTOS DE ALGUACIL</t>
  </si>
  <si>
    <t>JUAN RAMIREZ</t>
  </si>
  <si>
    <t>TECNICO DE REFRIGERACION</t>
  </si>
  <si>
    <t>KARIBERTH TECNOLOGY</t>
  </si>
  <si>
    <t>KEMMY JOEL JIMENEZ REYES</t>
  </si>
  <si>
    <t>REFRIGERIOS</t>
  </si>
  <si>
    <t>LAB. BIOMEDICA</t>
  </si>
  <si>
    <t>LAB.CLINICO MARIA F.M</t>
  </si>
  <si>
    <t>COMPRA DE SANGRE</t>
  </si>
  <si>
    <t>LAB.DENTAL HNOS. HERNANDEZ</t>
  </si>
  <si>
    <t>SUMINISTRO DE ODONTOLOGIA</t>
  </si>
  <si>
    <t>LABORATORIO CLASSIC DENTAL</t>
  </si>
  <si>
    <t>LAHMEDOM DOMINICANA SRL</t>
  </si>
  <si>
    <t>SUMINISTROS DE RAYOS X</t>
  </si>
  <si>
    <t>LAMBDA DIAGNOSTICA</t>
  </si>
  <si>
    <t>LGM MULTISERVICIOS, SRL</t>
  </si>
  <si>
    <t>FUMIGACION</t>
  </si>
  <si>
    <t>LUIS ELPIDIO FELIZ FELIZ</t>
  </si>
  <si>
    <t>SERVICIOS DE CAPACITACION</t>
  </si>
  <si>
    <t>LUIS MIGUEL ESTEVEZ</t>
  </si>
  <si>
    <t>SERVICIO DE ALIMENTACION</t>
  </si>
  <si>
    <t>LUIS SAMUEL BALBUENA</t>
  </si>
  <si>
    <t>ALQUILERES</t>
  </si>
  <si>
    <t>MAQUINARIAS Y SOLUCIONES INDUSTRIALES, SRL</t>
  </si>
  <si>
    <t>MANTENIMIENTO Y REPARACION</t>
  </si>
  <si>
    <t>MAO CENTRAL CONECTIONS</t>
  </si>
  <si>
    <t>INTERNET</t>
  </si>
  <si>
    <t>MEDCORP SOLUTIONS, SRL</t>
  </si>
  <si>
    <t>MEDI- SAN</t>
  </si>
  <si>
    <t>MATERIAL GAST. Y MEDICAMENTOS</t>
  </si>
  <si>
    <t>MEDICAL SUPPLY HERNANDEZ VARGAS</t>
  </si>
  <si>
    <t>QUIRURGICOS</t>
  </si>
  <si>
    <t>MEDIDENTAL, SRL</t>
  </si>
  <si>
    <t>METROGAS, SRL</t>
  </si>
  <si>
    <t>MICROFUNDICION FGLE</t>
  </si>
  <si>
    <t>PIN PERSONALIZADOS</t>
  </si>
  <si>
    <t>MIX AIR DOMINICANA, SRL.</t>
  </si>
  <si>
    <t>OXIGENOS MEDICO</t>
  </si>
  <si>
    <t>MORAMI</t>
  </si>
  <si>
    <t>MULTI SERVICIOS MAO</t>
  </si>
  <si>
    <t>ALQUILRES</t>
  </si>
  <si>
    <t>MULTICENTRO EL MANA</t>
  </si>
  <si>
    <t>UTILES DE DECORACION</t>
  </si>
  <si>
    <t>MULTIGESTIONES YAVIC, SRL</t>
  </si>
  <si>
    <t>MATERIALES DE LIMPIEZA</t>
  </si>
  <si>
    <t>NIFRARMED</t>
  </si>
  <si>
    <t>MEDICAMENTOS Y MAT. QUIRURGICO</t>
  </si>
  <si>
    <t>OSTEOSINTESIS DEL ATLANTICO, SRL</t>
  </si>
  <si>
    <t>INSUMOS DE ORTOPEDIA</t>
  </si>
  <si>
    <t>OXIGENOS EL CHINO</t>
  </si>
  <si>
    <t>PEREZ BARROZO, SRL</t>
  </si>
  <si>
    <t>PLAZA VALVERDE</t>
  </si>
  <si>
    <t>PRODACOM,SRL</t>
  </si>
  <si>
    <t>EQUIPOS DE TECNOLOGIA</t>
  </si>
  <si>
    <t>PUNTO GRAFICO SR, SRL</t>
  </si>
  <si>
    <t xml:space="preserve">SEÑALECTICAS </t>
  </si>
  <si>
    <t>Q-TECH SOLUTIONS</t>
  </si>
  <si>
    <t>REMIFAR COMERCIAL</t>
  </si>
  <si>
    <t>Repuestos Danilo Santos</t>
  </si>
  <si>
    <t>MANT.EQ. TRANSPORTE</t>
  </si>
  <si>
    <t>RICO - PAN</t>
  </si>
  <si>
    <t>ROCE DENTAL</t>
  </si>
  <si>
    <t>INSUMOS DE ODONTOLOGIA</t>
  </si>
  <si>
    <t>SD IMPRESOS EXPRESS, SRL</t>
  </si>
  <si>
    <t>SEAN DOMINICAN, SRL.</t>
  </si>
  <si>
    <t>SEMINSA</t>
  </si>
  <si>
    <t>MANTENIMIENTO EQ. MEDICOS</t>
  </si>
  <si>
    <t>SERCLAMED,SRL</t>
  </si>
  <si>
    <t>SERVIAMED DOMINICANA, SRL</t>
  </si>
  <si>
    <t>SERVICIOS DE MANTENIMIENTO</t>
  </si>
  <si>
    <t>SILVER PHARMA</t>
  </si>
  <si>
    <t>SOLUCIONES MEDICAS GLOBAL, SRL</t>
  </si>
  <si>
    <t>SERVICIOS DE TRANSPORTE</t>
  </si>
  <si>
    <t>SPEEDWI TELECOM, SRL</t>
  </si>
  <si>
    <t>SSP SERVISALUD PREMIUN, SRL</t>
  </si>
  <si>
    <t>STARSOFT, SRL</t>
  </si>
  <si>
    <t xml:space="preserve">SISTEMA </t>
  </si>
  <si>
    <t>STRONICS</t>
  </si>
  <si>
    <t>IGUALA</t>
  </si>
  <si>
    <t>SUED &amp; FARGESA,SRL</t>
  </si>
  <si>
    <t>SUPER ESTACION MAO</t>
  </si>
  <si>
    <t>COMBUSTIBLE</t>
  </si>
  <si>
    <t>SUPERMERCADO MAEÑO</t>
  </si>
  <si>
    <t>ALIMENTOS,MAT.PLASTICO Y DE LIMP</t>
  </si>
  <si>
    <t>SUPERMERCADO MOREL</t>
  </si>
  <si>
    <t>ALIMENTOS,MAT.PLASTICO Y DE LIMP.</t>
  </si>
  <si>
    <t>SUPLIDORES MEDICOS COMERCIALES, SRL</t>
  </si>
  <si>
    <t>SUPLITODO RD GAMVESA, SRL</t>
  </si>
  <si>
    <t>TARGELUX, SRL</t>
  </si>
  <si>
    <t>TDA. CUCHA</t>
  </si>
  <si>
    <t>ARTICULOS DIVERSOS</t>
  </si>
  <si>
    <t>TDA. LAS MARGARITAS</t>
  </si>
  <si>
    <t>PLASTICO Y UT. DE COCINA</t>
  </si>
  <si>
    <t>TIO DEPOSITO DENTAL</t>
  </si>
  <si>
    <t>ULTRACOMPUTERS</t>
  </si>
  <si>
    <t>MATERIAL DE INFORMATICA</t>
  </si>
  <si>
    <t>ULTRALAB</t>
  </si>
  <si>
    <t>UNIQUE</t>
  </si>
  <si>
    <t>UNITRADE,SRL</t>
  </si>
  <si>
    <t>MANTENIMIENTO UPS</t>
  </si>
  <si>
    <t>UNIVERSAL DE COMPUTOS</t>
  </si>
  <si>
    <t>EQUIPOS DE OFICINAS</t>
  </si>
  <si>
    <t>WENDY CAROLINA RODRIGUEZ</t>
  </si>
  <si>
    <t>SERVIDICOS DE DIGITACION DEL 67 A</t>
  </si>
  <si>
    <t>WILMIN CHAVEZ</t>
  </si>
  <si>
    <t xml:space="preserve">PUERTAS </t>
  </si>
  <si>
    <t>ZEN PHARMACUTHICAL. SRL</t>
  </si>
  <si>
    <t xml:space="preserve">  </t>
  </si>
  <si>
    <t xml:space="preserve"> </t>
  </si>
  <si>
    <t>PREPARADO POR:</t>
  </si>
  <si>
    <t xml:space="preserve">REVISADO POR: </t>
  </si>
  <si>
    <t>APROBODO POR:</t>
  </si>
  <si>
    <t>LIC. JENNIFFER RODRIGUEZ</t>
  </si>
  <si>
    <t>LIC. JEAN FLORES</t>
  </si>
  <si>
    <t>DR. NEWTON SOLANO</t>
  </si>
  <si>
    <t xml:space="preserve">Enc. Depto. De Contbailidad </t>
  </si>
  <si>
    <t>Administrador</t>
  </si>
  <si>
    <t>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</si>
</sst>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P_t_s_-;\-* #,##0.00\ _P_t_s_-;_-* &quot;-&quot;??\ _P_t_s_-;_-@_-"/>
    <numFmt numFmtId="165" formatCode="_-* #,##0.00\ _$_-;\-* #,##0.00\ _$_-;_-* &quot;-&quot;??\ _$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9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u/>
      <sz val="9"/>
      <color theme="1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68">
    <xf numFmtId="0" fontId="0" fillId="0" borderId="0" xfId="0"/>
    <xf numFmtId="0" fontId="5" fillId="0" borderId="0" xfId="0" applyFont="1"/>
    <xf numFmtId="43" fontId="5" fillId="0" borderId="0" xfId="1" applyFont="1"/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14" fontId="4" fillId="2" borderId="2" xfId="1" applyNumberFormat="1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6" fillId="0" borderId="8" xfId="0" applyFont="1" applyBorder="1" applyAlignment="1">
      <alignment horizontal="left"/>
    </xf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43" fontId="5" fillId="0" borderId="8" xfId="1" applyFont="1" applyFill="1" applyBorder="1" applyAlignment="1">
      <alignment horizontal="center"/>
    </xf>
    <xf numFmtId="164" fontId="5" fillId="0" borderId="8" xfId="2" applyFont="1" applyFill="1" applyBorder="1" applyAlignment="1">
      <alignment horizontal="center"/>
    </xf>
    <xf numFmtId="164" fontId="5" fillId="0" borderId="9" xfId="2" applyFont="1" applyFill="1" applyBorder="1" applyAlignment="1">
      <alignment horizontal="center"/>
    </xf>
    <xf numFmtId="164" fontId="5" fillId="0" borderId="10" xfId="2" applyFont="1" applyFill="1" applyBorder="1" applyAlignment="1">
      <alignment horizontal="right"/>
    </xf>
    <xf numFmtId="0" fontId="0" fillId="3" borderId="0" xfId="0" applyFill="1"/>
    <xf numFmtId="165" fontId="0" fillId="3" borderId="0" xfId="0" applyNumberFormat="1" applyFill="1"/>
    <xf numFmtId="0" fontId="6" fillId="0" borderId="11" xfId="0" applyFont="1" applyBorder="1"/>
    <xf numFmtId="0" fontId="5" fillId="0" borderId="11" xfId="0" applyFont="1" applyBorder="1"/>
    <xf numFmtId="0" fontId="5" fillId="0" borderId="11" xfId="0" applyFont="1" applyBorder="1" applyAlignment="1">
      <alignment horizontal="center"/>
    </xf>
    <xf numFmtId="43" fontId="5" fillId="0" borderId="11" xfId="1" applyFont="1" applyFill="1" applyBorder="1" applyAlignment="1">
      <alignment horizontal="center"/>
    </xf>
    <xf numFmtId="164" fontId="5" fillId="0" borderId="11" xfId="2" applyFont="1" applyFill="1" applyBorder="1" applyAlignment="1">
      <alignment horizontal="center"/>
    </xf>
    <xf numFmtId="164" fontId="5" fillId="0" borderId="12" xfId="2" applyFont="1" applyFill="1" applyBorder="1" applyAlignment="1">
      <alignment horizontal="center"/>
    </xf>
    <xf numFmtId="164" fontId="5" fillId="0" borderId="13" xfId="2" applyFont="1" applyFill="1" applyBorder="1" applyAlignment="1">
      <alignment horizontal="right"/>
    </xf>
    <xf numFmtId="0" fontId="6" fillId="0" borderId="11" xfId="0" applyFont="1" applyBorder="1" applyAlignment="1">
      <alignment horizontal="left"/>
    </xf>
    <xf numFmtId="164" fontId="5" fillId="0" borderId="11" xfId="2" applyFont="1" applyFill="1" applyBorder="1" applyAlignment="1">
      <alignment horizontal="right"/>
    </xf>
    <xf numFmtId="164" fontId="6" fillId="0" borderId="11" xfId="2" applyFont="1" applyFill="1" applyBorder="1" applyAlignment="1">
      <alignment horizontal="center"/>
    </xf>
    <xf numFmtId="164" fontId="6" fillId="0" borderId="12" xfId="2" applyFont="1" applyFill="1" applyBorder="1" applyAlignment="1">
      <alignment horizontal="center"/>
    </xf>
    <xf numFmtId="165" fontId="0" fillId="0" borderId="0" xfId="0" applyNumberFormat="1"/>
    <xf numFmtId="0" fontId="6" fillId="0" borderId="11" xfId="0" applyFont="1" applyBorder="1" applyAlignment="1">
      <alignment horizontal="left" wrapText="1"/>
    </xf>
    <xf numFmtId="43" fontId="5" fillId="0" borderId="11" xfId="1" applyFont="1" applyFill="1" applyBorder="1" applyAlignment="1"/>
    <xf numFmtId="164" fontId="5" fillId="0" borderId="11" xfId="2" applyFont="1" applyFill="1" applyBorder="1" applyAlignment="1"/>
    <xf numFmtId="164" fontId="5" fillId="0" borderId="12" xfId="2" applyFont="1" applyFill="1" applyBorder="1" applyAlignment="1"/>
    <xf numFmtId="0" fontId="5" fillId="3" borderId="11" xfId="0" applyFont="1" applyFill="1" applyBorder="1" applyAlignment="1">
      <alignment horizontal="left" wrapText="1"/>
    </xf>
    <xf numFmtId="43" fontId="0" fillId="0" borderId="0" xfId="1" applyFont="1" applyFill="1"/>
    <xf numFmtId="0" fontId="6" fillId="4" borderId="11" xfId="0" applyFont="1" applyFill="1" applyBorder="1" applyAlignment="1">
      <alignment horizontal="left" wrapText="1"/>
    </xf>
    <xf numFmtId="43" fontId="4" fillId="5" borderId="2" xfId="1" applyFont="1" applyFill="1" applyBorder="1" applyAlignment="1">
      <alignment horizontal="center"/>
    </xf>
    <xf numFmtId="164" fontId="4" fillId="5" borderId="2" xfId="2" applyFont="1" applyFill="1" applyBorder="1" applyAlignment="1">
      <alignment horizontal="right"/>
    </xf>
    <xf numFmtId="164" fontId="4" fillId="5" borderId="3" xfId="2" applyFont="1" applyFill="1" applyBorder="1" applyAlignment="1">
      <alignment horizontal="right"/>
    </xf>
    <xf numFmtId="164" fontId="4" fillId="5" borderId="4" xfId="2" applyFont="1" applyFill="1" applyBorder="1" applyAlignment="1">
      <alignment horizontal="right"/>
    </xf>
    <xf numFmtId="43" fontId="0" fillId="0" borderId="0" xfId="0" applyNumberFormat="1"/>
    <xf numFmtId="0" fontId="8" fillId="0" borderId="0" xfId="0" applyFont="1"/>
    <xf numFmtId="0" fontId="9" fillId="0" borderId="0" xfId="0" applyFont="1"/>
    <xf numFmtId="43" fontId="9" fillId="0" borderId="0" xfId="1" applyFont="1"/>
    <xf numFmtId="165" fontId="9" fillId="0" borderId="0" xfId="0" applyNumberFormat="1" applyFont="1"/>
    <xf numFmtId="43" fontId="0" fillId="0" borderId="0" xfId="1" applyFont="1"/>
    <xf numFmtId="165" fontId="2" fillId="0" borderId="0" xfId="0" applyNumberFormat="1" applyFont="1"/>
    <xf numFmtId="43" fontId="10" fillId="0" borderId="0" xfId="0" applyNumberFormat="1" applyFont="1"/>
    <xf numFmtId="0" fontId="11" fillId="0" borderId="0" xfId="0" applyFont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wrapText="1"/>
    </xf>
    <xf numFmtId="43" fontId="13" fillId="0" borderId="0" xfId="1" applyFont="1" applyAlignment="1">
      <alignment horizontal="center" wrapText="1"/>
    </xf>
    <xf numFmtId="0" fontId="14" fillId="0" borderId="0" xfId="0" applyFont="1" applyAlignment="1">
      <alignment horizontal="center" wrapText="1"/>
    </xf>
    <xf numFmtId="43" fontId="14" fillId="0" borderId="0" xfId="1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43" fontId="9" fillId="0" borderId="0" xfId="1" applyFont="1" applyAlignment="1">
      <alignment horizontal="center"/>
    </xf>
  </cellXfs>
  <cellStyles count="3">
    <cellStyle name="Millares" xfId="1" builtinId="3"/>
    <cellStyle name="Millares 2 2" xfId="2" xr:uid="{F07FE8FA-5D1F-4C20-BB59-99645942D31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5EC27-85B8-4B5C-8239-5E723F04A31F}">
  <dimension ref="A1:AK155"/>
  <sheetViews>
    <sheetView tabSelected="1" zoomScale="130" zoomScaleNormal="130" workbookViewId="0">
      <pane ySplit="7" topLeftCell="A83" activePane="bottomLeft" state="frozen"/>
      <selection activeCell="C174" sqref="C174"/>
      <selection pane="bottomLeft" activeCell="J98" sqref="J98"/>
    </sheetView>
  </sheetViews>
  <sheetFormatPr baseColWidth="10" defaultRowHeight="15" x14ac:dyDescent="0.25"/>
  <cols>
    <col min="1" max="1" width="4" customWidth="1"/>
    <col min="2" max="2" width="25.85546875" customWidth="1"/>
    <col min="3" max="3" width="28.85546875" customWidth="1"/>
    <col min="4" max="4" width="15.85546875" customWidth="1"/>
    <col min="5" max="5" width="11.7109375" style="49" customWidth="1"/>
    <col min="6" max="7" width="13.140625" customWidth="1"/>
    <col min="8" max="8" width="12.85546875" customWidth="1"/>
    <col min="9" max="9" width="12.5703125" customWidth="1"/>
    <col min="10" max="12" width="13.140625" customWidth="1"/>
    <col min="13" max="13" width="13.28515625" customWidth="1"/>
    <col min="14" max="14" width="13.140625" customWidth="1"/>
    <col min="15" max="15" width="12.85546875" customWidth="1"/>
    <col min="16" max="16" width="12.7109375" customWidth="1"/>
    <col min="17" max="17" width="12.5703125" customWidth="1"/>
    <col min="18" max="23" width="13.140625" customWidth="1"/>
    <col min="24" max="24" width="12" customWidth="1"/>
    <col min="25" max="25" width="12.7109375" customWidth="1"/>
    <col min="26" max="26" width="13.140625" customWidth="1"/>
    <col min="27" max="27" width="12" customWidth="1"/>
    <col min="28" max="28" width="13.140625" customWidth="1"/>
    <col min="29" max="29" width="13.28515625" customWidth="1"/>
    <col min="30" max="30" width="14" bestFit="1" customWidth="1"/>
    <col min="31" max="31" width="13.85546875" bestFit="1" customWidth="1"/>
    <col min="32" max="32" width="17.7109375" bestFit="1" customWidth="1"/>
    <col min="33" max="33" width="16.5703125" bestFit="1" customWidth="1"/>
    <col min="35" max="37" width="13.85546875" bestFit="1" customWidth="1"/>
  </cols>
  <sheetData>
    <row r="1" spans="1:32" ht="15.75" customHeight="1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</row>
    <row r="2" spans="1:32" ht="15.75" customHeight="1" x14ac:dyDescent="0.25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</row>
    <row r="3" spans="1:32" ht="15.75" customHeight="1" x14ac:dyDescent="0.25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</row>
    <row r="4" spans="1:32" x14ac:dyDescent="0.25">
      <c r="A4" s="1"/>
      <c r="B4" s="1"/>
      <c r="C4" s="1"/>
      <c r="D4" s="1"/>
      <c r="E4" s="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2" x14ac:dyDescent="0.25">
      <c r="A5" s="1" t="s">
        <v>3</v>
      </c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2" ht="15.75" thickBot="1" x14ac:dyDescent="0.3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2" ht="24.75" customHeight="1" thickBot="1" x14ac:dyDescent="0.3">
      <c r="A7" s="3" t="s">
        <v>4</v>
      </c>
      <c r="B7" s="4" t="s">
        <v>5</v>
      </c>
      <c r="C7" s="5" t="s">
        <v>6</v>
      </c>
      <c r="D7" s="5" t="s">
        <v>7</v>
      </c>
      <c r="E7" s="6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" t="s">
        <v>13</v>
      </c>
      <c r="K7" s="5" t="s">
        <v>14</v>
      </c>
      <c r="L7" s="5" t="s">
        <v>15</v>
      </c>
      <c r="M7" s="5" t="s">
        <v>16</v>
      </c>
      <c r="N7" s="5" t="s">
        <v>17</v>
      </c>
      <c r="O7" s="5" t="s">
        <v>18</v>
      </c>
      <c r="P7" s="5" t="s">
        <v>19</v>
      </c>
      <c r="Q7" s="5" t="s">
        <v>20</v>
      </c>
      <c r="R7" s="5" t="s">
        <v>21</v>
      </c>
      <c r="S7" s="5" t="s">
        <v>22</v>
      </c>
      <c r="T7" s="5" t="s">
        <v>23</v>
      </c>
      <c r="U7" s="5" t="s">
        <v>24</v>
      </c>
      <c r="V7" s="7" t="s">
        <v>25</v>
      </c>
      <c r="W7" s="8" t="s">
        <v>26</v>
      </c>
      <c r="X7" s="8" t="s">
        <v>27</v>
      </c>
      <c r="Y7" s="8" t="s">
        <v>28</v>
      </c>
      <c r="Z7" s="8" t="s">
        <v>29</v>
      </c>
      <c r="AA7" s="9" t="s">
        <v>30</v>
      </c>
      <c r="AB7" s="8" t="s">
        <v>31</v>
      </c>
      <c r="AC7" s="8" t="s">
        <v>32</v>
      </c>
      <c r="AD7" s="10" t="s">
        <v>33</v>
      </c>
    </row>
    <row r="8" spans="1:32" s="19" customFormat="1" x14ac:dyDescent="0.25">
      <c r="A8" s="11">
        <v>1</v>
      </c>
      <c r="B8" s="12" t="s">
        <v>34</v>
      </c>
      <c r="C8" s="13" t="s">
        <v>35</v>
      </c>
      <c r="D8" s="14" t="s">
        <v>36</v>
      </c>
      <c r="E8" s="15">
        <v>0</v>
      </c>
      <c r="F8" s="16"/>
      <c r="G8" s="16"/>
      <c r="H8" s="16">
        <f>129148.37+86505.12+13869.69+6300+6890.03</f>
        <v>242713.21</v>
      </c>
      <c r="I8" s="16">
        <f>129148.37</f>
        <v>129148.37</v>
      </c>
      <c r="J8" s="16">
        <f>148800.55+72019.18+51739.86+68369.54</f>
        <v>340929.12999999995</v>
      </c>
      <c r="K8" s="16">
        <f>262365.39</f>
        <v>262365.39</v>
      </c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7"/>
      <c r="AD8" s="18">
        <f t="shared" ref="AD8:AD77" si="0">E8+F8-G8+H8-I8+J8-K8+L8-M8+N8-O8+P8-Q8+R8-S8+T8-U8+V8-W8+X8-Y8+Z8-AA8+AB8-AC8</f>
        <v>192128.57999999996</v>
      </c>
      <c r="AF8" s="20"/>
    </row>
    <row r="9" spans="1:32" x14ac:dyDescent="0.25">
      <c r="A9" s="11">
        <v>2</v>
      </c>
      <c r="B9" s="21" t="s">
        <v>37</v>
      </c>
      <c r="C9" s="22" t="s">
        <v>38</v>
      </c>
      <c r="D9" s="23" t="s">
        <v>36</v>
      </c>
      <c r="E9" s="24">
        <v>0</v>
      </c>
      <c r="F9" s="25">
        <f>111746+241900+123900</f>
        <v>477546</v>
      </c>
      <c r="G9" s="25">
        <v>477546</v>
      </c>
      <c r="H9" s="25">
        <f>51625+25960+30680</f>
        <v>108265</v>
      </c>
      <c r="I9" s="25">
        <v>77585</v>
      </c>
      <c r="J9" s="25">
        <f>22420+37760+41418</f>
        <v>101598</v>
      </c>
      <c r="K9" s="25">
        <f>90860</f>
        <v>90860</v>
      </c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6"/>
      <c r="AD9" s="27">
        <f t="shared" si="0"/>
        <v>41418</v>
      </c>
    </row>
    <row r="10" spans="1:32" x14ac:dyDescent="0.25">
      <c r="A10" s="11">
        <v>3</v>
      </c>
      <c r="B10" s="28" t="s">
        <v>39</v>
      </c>
      <c r="C10" s="22" t="s">
        <v>38</v>
      </c>
      <c r="D10" s="23" t="s">
        <v>36</v>
      </c>
      <c r="E10" s="24">
        <v>0</v>
      </c>
      <c r="F10" s="25">
        <f>67050+28560</f>
        <v>95610</v>
      </c>
      <c r="G10" s="25">
        <v>95610</v>
      </c>
      <c r="H10" s="25">
        <f>29040+67250+30000+71176</f>
        <v>197466</v>
      </c>
      <c r="I10" s="25">
        <v>96290</v>
      </c>
      <c r="J10" s="25">
        <f>30000+64206</f>
        <v>94206</v>
      </c>
      <c r="K10" s="25">
        <f>101176+94206</f>
        <v>195382</v>
      </c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6"/>
      <c r="AD10" s="27">
        <f t="shared" si="0"/>
        <v>0</v>
      </c>
    </row>
    <row r="11" spans="1:32" x14ac:dyDescent="0.25">
      <c r="A11" s="11">
        <v>4</v>
      </c>
      <c r="B11" s="28" t="s">
        <v>40</v>
      </c>
      <c r="C11" s="22" t="s">
        <v>41</v>
      </c>
      <c r="D11" s="23" t="s">
        <v>36</v>
      </c>
      <c r="E11" s="24">
        <v>10185</v>
      </c>
      <c r="F11" s="25">
        <f>5370+1260+4350+5325+11250</f>
        <v>27555</v>
      </c>
      <c r="G11" s="25">
        <v>37740</v>
      </c>
      <c r="H11" s="25">
        <f>4965+4620</f>
        <v>9585</v>
      </c>
      <c r="I11" s="25"/>
      <c r="J11" s="25">
        <f>4575+4305+5070+4665+5715+2535+855+3900+2535</f>
        <v>34155</v>
      </c>
      <c r="K11" s="25">
        <f>41205</f>
        <v>41205</v>
      </c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6"/>
      <c r="AD11" s="27">
        <f t="shared" si="0"/>
        <v>2535</v>
      </c>
    </row>
    <row r="12" spans="1:32" x14ac:dyDescent="0.25">
      <c r="A12" s="11">
        <v>5</v>
      </c>
      <c r="B12" s="28" t="s">
        <v>42</v>
      </c>
      <c r="C12" s="22" t="s">
        <v>43</v>
      </c>
      <c r="D12" s="23" t="s">
        <v>44</v>
      </c>
      <c r="E12" s="24">
        <v>0</v>
      </c>
      <c r="F12" s="29">
        <f>517336.25</f>
        <v>517336.25</v>
      </c>
      <c r="G12" s="25">
        <v>517336.25</v>
      </c>
      <c r="H12" s="25">
        <f>703523.69</f>
        <v>703523.69</v>
      </c>
      <c r="I12" s="25">
        <v>703523.69</v>
      </c>
      <c r="J12" s="25">
        <f>239349.22</f>
        <v>239349.22</v>
      </c>
      <c r="K12" s="25">
        <f>239349.22</f>
        <v>239349.22</v>
      </c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6"/>
      <c r="AD12" s="27">
        <f t="shared" si="0"/>
        <v>0</v>
      </c>
    </row>
    <row r="13" spans="1:32" x14ac:dyDescent="0.25">
      <c r="A13" s="11">
        <v>6</v>
      </c>
      <c r="B13" s="28" t="s">
        <v>45</v>
      </c>
      <c r="C13" s="22" t="s">
        <v>46</v>
      </c>
      <c r="D13" s="23" t="s">
        <v>36</v>
      </c>
      <c r="E13" s="24">
        <v>2300</v>
      </c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6"/>
      <c r="AD13" s="27">
        <f t="shared" si="0"/>
        <v>2300</v>
      </c>
    </row>
    <row r="14" spans="1:32" x14ac:dyDescent="0.25">
      <c r="A14" s="11">
        <v>7</v>
      </c>
      <c r="B14" s="21" t="s">
        <v>47</v>
      </c>
      <c r="C14" s="22" t="s">
        <v>48</v>
      </c>
      <c r="D14" s="23" t="s">
        <v>36</v>
      </c>
      <c r="E14" s="24">
        <v>0</v>
      </c>
      <c r="F14" s="25">
        <v>101784.8</v>
      </c>
      <c r="G14" s="25">
        <v>101784.8</v>
      </c>
      <c r="H14" s="25">
        <f>107482.04</f>
        <v>107482.04</v>
      </c>
      <c r="I14" s="25">
        <v>107482.04</v>
      </c>
      <c r="J14" s="25">
        <v>104651.25</v>
      </c>
      <c r="K14" s="25">
        <v>104651.25</v>
      </c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6"/>
      <c r="AD14" s="27">
        <f t="shared" si="0"/>
        <v>0</v>
      </c>
    </row>
    <row r="15" spans="1:32" x14ac:dyDescent="0.25">
      <c r="A15" s="11">
        <v>8</v>
      </c>
      <c r="B15" s="28" t="s">
        <v>49</v>
      </c>
      <c r="C15" s="22" t="s">
        <v>50</v>
      </c>
      <c r="D15" s="23" t="s">
        <v>36</v>
      </c>
      <c r="E15" s="24">
        <v>0</v>
      </c>
      <c r="F15" s="25"/>
      <c r="G15" s="25"/>
      <c r="H15" s="25"/>
      <c r="I15" s="25"/>
      <c r="J15" s="25">
        <v>399999.99</v>
      </c>
      <c r="K15" s="25">
        <f>100000</f>
        <v>100000</v>
      </c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6"/>
      <c r="AD15" s="27">
        <f t="shared" si="0"/>
        <v>299999.99</v>
      </c>
    </row>
    <row r="16" spans="1:32" x14ac:dyDescent="0.25">
      <c r="A16" s="11">
        <v>9</v>
      </c>
      <c r="B16" s="28" t="s">
        <v>51</v>
      </c>
      <c r="C16" s="22" t="s">
        <v>52</v>
      </c>
      <c r="D16" s="23" t="s">
        <v>36</v>
      </c>
      <c r="E16" s="24">
        <v>0</v>
      </c>
      <c r="F16" s="25">
        <v>1980</v>
      </c>
      <c r="G16" s="25"/>
      <c r="H16" s="25">
        <v>550</v>
      </c>
      <c r="I16" s="25">
        <v>2530</v>
      </c>
      <c r="J16" s="25">
        <f>4100+12650</f>
        <v>16750</v>
      </c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6"/>
      <c r="AD16" s="27">
        <f t="shared" si="0"/>
        <v>16750</v>
      </c>
    </row>
    <row r="17" spans="1:32" x14ac:dyDescent="0.25">
      <c r="A17" s="11">
        <v>10</v>
      </c>
      <c r="B17" s="28" t="s">
        <v>53</v>
      </c>
      <c r="C17" s="22" t="s">
        <v>54</v>
      </c>
      <c r="D17" s="23" t="s">
        <v>55</v>
      </c>
      <c r="E17" s="24"/>
      <c r="F17" s="25"/>
      <c r="G17" s="25"/>
      <c r="H17" s="25"/>
      <c r="I17" s="25"/>
      <c r="J17" s="25">
        <f>7200</f>
        <v>7200</v>
      </c>
      <c r="K17" s="25">
        <f>7200</f>
        <v>7200</v>
      </c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6"/>
      <c r="AD17" s="27">
        <f t="shared" si="0"/>
        <v>0</v>
      </c>
    </row>
    <row r="18" spans="1:32" x14ac:dyDescent="0.25">
      <c r="A18" s="11">
        <v>11</v>
      </c>
      <c r="B18" s="21" t="s">
        <v>56</v>
      </c>
      <c r="C18" s="22" t="s">
        <v>57</v>
      </c>
      <c r="D18" s="23" t="s">
        <v>44</v>
      </c>
      <c r="E18" s="24">
        <v>0</v>
      </c>
      <c r="F18" s="25"/>
      <c r="G18" s="25"/>
      <c r="H18" s="25">
        <v>9000</v>
      </c>
      <c r="I18" s="25">
        <v>9000</v>
      </c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6"/>
      <c r="AD18" s="27">
        <f t="shared" si="0"/>
        <v>0</v>
      </c>
    </row>
    <row r="19" spans="1:32" x14ac:dyDescent="0.25">
      <c r="A19" s="11">
        <v>12</v>
      </c>
      <c r="B19" s="21" t="s">
        <v>58</v>
      </c>
      <c r="C19" s="22" t="s">
        <v>59</v>
      </c>
      <c r="D19" s="23" t="s">
        <v>36</v>
      </c>
      <c r="E19" s="24"/>
      <c r="F19" s="25"/>
      <c r="G19" s="25"/>
      <c r="H19" s="25"/>
      <c r="I19" s="25"/>
      <c r="J19" s="25">
        <v>58056</v>
      </c>
      <c r="K19" s="25">
        <f>58056</f>
        <v>58056</v>
      </c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6"/>
      <c r="AD19" s="27">
        <f t="shared" si="0"/>
        <v>0</v>
      </c>
    </row>
    <row r="20" spans="1:32" x14ac:dyDescent="0.25">
      <c r="A20" s="11">
        <v>13</v>
      </c>
      <c r="B20" s="28" t="s">
        <v>60</v>
      </c>
      <c r="C20" s="22" t="s">
        <v>61</v>
      </c>
      <c r="D20" s="23" t="s">
        <v>36</v>
      </c>
      <c r="E20" s="24">
        <v>0</v>
      </c>
      <c r="F20" s="25">
        <f>57182</f>
        <v>57182</v>
      </c>
      <c r="G20" s="25">
        <v>57182</v>
      </c>
      <c r="H20" s="25"/>
      <c r="I20" s="25"/>
      <c r="J20" s="25">
        <v>1243368.3999999999</v>
      </c>
      <c r="K20" s="25">
        <f>414456.13</f>
        <v>414456.13</v>
      </c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6"/>
      <c r="AD20" s="27">
        <f t="shared" si="0"/>
        <v>828912.2699999999</v>
      </c>
    </row>
    <row r="21" spans="1:32" x14ac:dyDescent="0.25">
      <c r="A21" s="11">
        <v>14</v>
      </c>
      <c r="B21" s="28" t="s">
        <v>62</v>
      </c>
      <c r="C21" s="22" t="s">
        <v>43</v>
      </c>
      <c r="D21" s="23" t="s">
        <v>44</v>
      </c>
      <c r="E21" s="24">
        <v>0</v>
      </c>
      <c r="F21" s="25">
        <f>83425.58</f>
        <v>83425.58</v>
      </c>
      <c r="G21" s="25">
        <v>83425.58</v>
      </c>
      <c r="H21" s="25">
        <f>180873.35</f>
        <v>180873.35</v>
      </c>
      <c r="I21" s="25"/>
      <c r="J21" s="25">
        <f>150190.25+133300.58</f>
        <v>283490.82999999996</v>
      </c>
      <c r="K21" s="25">
        <f>331063.6</f>
        <v>331063.59999999998</v>
      </c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6"/>
      <c r="AD21" s="27">
        <f t="shared" si="0"/>
        <v>133300.57999999996</v>
      </c>
    </row>
    <row r="22" spans="1:32" x14ac:dyDescent="0.25">
      <c r="A22" s="11">
        <v>15</v>
      </c>
      <c r="B22" s="28" t="s">
        <v>63</v>
      </c>
      <c r="C22" s="22" t="s">
        <v>64</v>
      </c>
      <c r="D22" s="23" t="s">
        <v>36</v>
      </c>
      <c r="E22" s="24">
        <v>0</v>
      </c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6"/>
      <c r="AD22" s="27">
        <f t="shared" si="0"/>
        <v>0</v>
      </c>
    </row>
    <row r="23" spans="1:32" x14ac:dyDescent="0.25">
      <c r="A23" s="11">
        <v>16</v>
      </c>
      <c r="B23" s="28" t="s">
        <v>65</v>
      </c>
      <c r="C23" s="22" t="s">
        <v>66</v>
      </c>
      <c r="D23" s="23" t="s">
        <v>36</v>
      </c>
      <c r="E23" s="24">
        <v>0</v>
      </c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6"/>
      <c r="AD23" s="27">
        <f t="shared" si="0"/>
        <v>0</v>
      </c>
    </row>
    <row r="24" spans="1:32" x14ac:dyDescent="0.25">
      <c r="A24" s="11">
        <v>17</v>
      </c>
      <c r="B24" s="28" t="s">
        <v>67</v>
      </c>
      <c r="C24" s="22" t="s">
        <v>68</v>
      </c>
      <c r="D24" s="23" t="s">
        <v>36</v>
      </c>
      <c r="E24" s="24">
        <v>0</v>
      </c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30"/>
      <c r="AC24" s="31"/>
      <c r="AD24" s="27">
        <f t="shared" si="0"/>
        <v>0</v>
      </c>
    </row>
    <row r="25" spans="1:32" x14ac:dyDescent="0.25">
      <c r="A25" s="11">
        <v>18</v>
      </c>
      <c r="B25" s="28" t="s">
        <v>69</v>
      </c>
      <c r="C25" s="22" t="s">
        <v>38</v>
      </c>
      <c r="D25" s="23" t="s">
        <v>36</v>
      </c>
      <c r="E25" s="24">
        <v>0</v>
      </c>
      <c r="F25" s="25">
        <f>15071</f>
        <v>15071</v>
      </c>
      <c r="G25" s="25"/>
      <c r="H25" s="25"/>
      <c r="I25" s="25">
        <v>15071</v>
      </c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30"/>
      <c r="AC25" s="31"/>
      <c r="AD25" s="27">
        <f t="shared" si="0"/>
        <v>0</v>
      </c>
    </row>
    <row r="26" spans="1:32" x14ac:dyDescent="0.25">
      <c r="A26" s="11">
        <v>19</v>
      </c>
      <c r="B26" s="28" t="s">
        <v>70</v>
      </c>
      <c r="C26" s="22" t="s">
        <v>71</v>
      </c>
      <c r="D26" s="23" t="s">
        <v>36</v>
      </c>
      <c r="E26" s="24">
        <v>62121.25</v>
      </c>
      <c r="F26" s="25"/>
      <c r="G26" s="25"/>
      <c r="H26" s="25"/>
      <c r="I26" s="25">
        <v>0</v>
      </c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6"/>
      <c r="AD26" s="27">
        <f t="shared" si="0"/>
        <v>62121.25</v>
      </c>
    </row>
    <row r="27" spans="1:32" x14ac:dyDescent="0.25">
      <c r="A27" s="11">
        <v>20</v>
      </c>
      <c r="B27" s="28" t="s">
        <v>72</v>
      </c>
      <c r="C27" s="22" t="s">
        <v>73</v>
      </c>
      <c r="D27" s="23" t="s">
        <v>36</v>
      </c>
      <c r="E27" s="24">
        <v>135582</v>
      </c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6"/>
      <c r="AD27" s="27">
        <f t="shared" si="0"/>
        <v>135582</v>
      </c>
    </row>
    <row r="28" spans="1:32" x14ac:dyDescent="0.25">
      <c r="A28" s="11">
        <v>21</v>
      </c>
      <c r="B28" s="28" t="s">
        <v>74</v>
      </c>
      <c r="C28" s="22" t="s">
        <v>54</v>
      </c>
      <c r="D28" s="23" t="s">
        <v>36</v>
      </c>
      <c r="E28" s="24">
        <v>9234</v>
      </c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6"/>
      <c r="AD28" s="27">
        <f t="shared" si="0"/>
        <v>9234</v>
      </c>
    </row>
    <row r="29" spans="1:32" x14ac:dyDescent="0.25">
      <c r="A29" s="11">
        <v>22</v>
      </c>
      <c r="B29" s="28" t="s">
        <v>75</v>
      </c>
      <c r="C29" s="22" t="s">
        <v>76</v>
      </c>
      <c r="D29" s="23" t="s">
        <v>36</v>
      </c>
      <c r="E29" s="24">
        <v>8000</v>
      </c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6"/>
      <c r="AD29" s="27">
        <f t="shared" si="0"/>
        <v>8000</v>
      </c>
      <c r="AF29" s="32"/>
    </row>
    <row r="30" spans="1:32" x14ac:dyDescent="0.25">
      <c r="A30" s="11">
        <v>23</v>
      </c>
      <c r="B30" s="33" t="s">
        <v>77</v>
      </c>
      <c r="C30" s="22" t="s">
        <v>78</v>
      </c>
      <c r="D30" s="23" t="s">
        <v>44</v>
      </c>
      <c r="E30" s="24">
        <v>0</v>
      </c>
      <c r="F30" s="25">
        <f>303320+195280</f>
        <v>498600</v>
      </c>
      <c r="G30" s="25">
        <v>303320</v>
      </c>
      <c r="H30" s="25">
        <v>321884</v>
      </c>
      <c r="I30" s="25">
        <v>195280</v>
      </c>
      <c r="J30" s="25">
        <v>147077</v>
      </c>
      <c r="K30" s="25">
        <f>321884</f>
        <v>321884</v>
      </c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6"/>
      <c r="AD30" s="27">
        <f t="shared" si="0"/>
        <v>147077</v>
      </c>
    </row>
    <row r="31" spans="1:32" x14ac:dyDescent="0.25">
      <c r="A31" s="11">
        <v>24</v>
      </c>
      <c r="B31" s="33" t="s">
        <v>79</v>
      </c>
      <c r="C31" s="22" t="s">
        <v>80</v>
      </c>
      <c r="D31" s="23" t="s">
        <v>36</v>
      </c>
      <c r="E31" s="24">
        <v>0</v>
      </c>
      <c r="F31" s="25"/>
      <c r="G31" s="25"/>
      <c r="H31" s="25"/>
      <c r="I31" s="25"/>
      <c r="J31" s="25">
        <f>10856</f>
        <v>10856</v>
      </c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6"/>
      <c r="AD31" s="27">
        <f t="shared" si="0"/>
        <v>10856</v>
      </c>
    </row>
    <row r="32" spans="1:32" x14ac:dyDescent="0.25">
      <c r="A32" s="11">
        <v>25</v>
      </c>
      <c r="B32" s="21" t="s">
        <v>81</v>
      </c>
      <c r="C32" s="22" t="s">
        <v>82</v>
      </c>
      <c r="D32" s="23" t="s">
        <v>36</v>
      </c>
      <c r="E32" s="34">
        <v>0</v>
      </c>
      <c r="F32" s="35">
        <f>191173.6</f>
        <v>191173.6</v>
      </c>
      <c r="G32" s="35">
        <v>191173.6</v>
      </c>
      <c r="H32" s="35"/>
      <c r="I32" s="35"/>
      <c r="J32" s="35">
        <f>155321</f>
        <v>155321</v>
      </c>
      <c r="K32" s="35">
        <f>155321</f>
        <v>155321</v>
      </c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6"/>
      <c r="AD32" s="27">
        <f t="shared" si="0"/>
        <v>0</v>
      </c>
    </row>
    <row r="33" spans="1:30" x14ac:dyDescent="0.25">
      <c r="A33" s="11">
        <v>26</v>
      </c>
      <c r="B33" s="21" t="s">
        <v>83</v>
      </c>
      <c r="C33" s="22" t="s">
        <v>84</v>
      </c>
      <c r="D33" s="23" t="s">
        <v>36</v>
      </c>
      <c r="E33" s="34"/>
      <c r="F33" s="35"/>
      <c r="G33" s="35"/>
      <c r="H33" s="35">
        <v>0</v>
      </c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6"/>
      <c r="AD33" s="27">
        <f t="shared" si="0"/>
        <v>0</v>
      </c>
    </row>
    <row r="34" spans="1:30" x14ac:dyDescent="0.25">
      <c r="A34" s="11">
        <v>27</v>
      </c>
      <c r="B34" s="28" t="s">
        <v>85</v>
      </c>
      <c r="C34" s="22" t="s">
        <v>48</v>
      </c>
      <c r="D34" s="23" t="s">
        <v>36</v>
      </c>
      <c r="E34" s="24">
        <v>0</v>
      </c>
      <c r="F34" s="25">
        <f>4092.4-18.3+12606.02</f>
        <v>16680.12</v>
      </c>
      <c r="G34" s="25">
        <f>4074.1+12606.02</f>
        <v>16680.12</v>
      </c>
      <c r="H34" s="25">
        <f>4092.4+13522.8</f>
        <v>17615.2</v>
      </c>
      <c r="I34" s="25">
        <f>4092.4+13522.8</f>
        <v>17615.2</v>
      </c>
      <c r="J34" s="25">
        <f>4092.2+12564.4</f>
        <v>16656.599999999999</v>
      </c>
      <c r="K34" s="25">
        <f>4092.4+12564.2</f>
        <v>16656.600000000002</v>
      </c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6"/>
      <c r="AD34" s="27">
        <f t="shared" si="0"/>
        <v>-3.637978807091713E-12</v>
      </c>
    </row>
    <row r="35" spans="1:30" x14ac:dyDescent="0.25">
      <c r="A35" s="11">
        <v>28</v>
      </c>
      <c r="B35" s="33" t="s">
        <v>86</v>
      </c>
      <c r="C35" s="22" t="s">
        <v>87</v>
      </c>
      <c r="D35" s="23" t="s">
        <v>36</v>
      </c>
      <c r="E35" s="24">
        <v>43660</v>
      </c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6"/>
      <c r="AD35" s="27">
        <f t="shared" si="0"/>
        <v>43660</v>
      </c>
    </row>
    <row r="36" spans="1:30" x14ac:dyDescent="0.25">
      <c r="A36" s="11">
        <v>29</v>
      </c>
      <c r="B36" s="33" t="s">
        <v>88</v>
      </c>
      <c r="C36" s="22" t="s">
        <v>89</v>
      </c>
      <c r="D36" s="23" t="s">
        <v>36</v>
      </c>
      <c r="E36" s="24">
        <v>0</v>
      </c>
      <c r="F36" s="25"/>
      <c r="G36" s="25"/>
      <c r="H36" s="25">
        <f>48500.01</f>
        <v>48500.01</v>
      </c>
      <c r="I36" s="25">
        <v>48500.01</v>
      </c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6"/>
      <c r="AD36" s="27">
        <f t="shared" si="0"/>
        <v>0</v>
      </c>
    </row>
    <row r="37" spans="1:30" x14ac:dyDescent="0.25">
      <c r="A37" s="11">
        <v>30</v>
      </c>
      <c r="B37" s="33" t="s">
        <v>90</v>
      </c>
      <c r="C37" s="22" t="s">
        <v>91</v>
      </c>
      <c r="D37" s="23" t="s">
        <v>36</v>
      </c>
      <c r="E37" s="24"/>
      <c r="F37" s="25"/>
      <c r="G37" s="25"/>
      <c r="H37" s="25">
        <v>58400</v>
      </c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6"/>
      <c r="AD37" s="27">
        <f t="shared" si="0"/>
        <v>58400</v>
      </c>
    </row>
    <row r="38" spans="1:30" x14ac:dyDescent="0.25">
      <c r="A38" s="11">
        <v>31</v>
      </c>
      <c r="B38" s="33" t="s">
        <v>92</v>
      </c>
      <c r="C38" s="22" t="s">
        <v>93</v>
      </c>
      <c r="D38" s="23" t="s">
        <v>36</v>
      </c>
      <c r="E38" s="24"/>
      <c r="F38" s="25"/>
      <c r="G38" s="25"/>
      <c r="H38" s="25">
        <v>180540</v>
      </c>
      <c r="I38" s="25">
        <f>90270+90270</f>
        <v>180540</v>
      </c>
      <c r="J38" s="25">
        <v>241900</v>
      </c>
      <c r="K38" s="25">
        <v>241900</v>
      </c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6"/>
      <c r="AD38" s="27">
        <f t="shared" si="0"/>
        <v>0</v>
      </c>
    </row>
    <row r="39" spans="1:30" x14ac:dyDescent="0.25">
      <c r="A39" s="11">
        <v>32</v>
      </c>
      <c r="B39" s="28" t="s">
        <v>94</v>
      </c>
      <c r="C39" s="22" t="s">
        <v>95</v>
      </c>
      <c r="D39" s="23" t="s">
        <v>36</v>
      </c>
      <c r="E39" s="24"/>
      <c r="F39" s="25">
        <v>60000</v>
      </c>
      <c r="G39" s="25">
        <v>60000</v>
      </c>
      <c r="H39" s="25"/>
      <c r="I39" s="25"/>
      <c r="J39" s="25">
        <v>60000</v>
      </c>
      <c r="K39" s="25">
        <v>60000</v>
      </c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6"/>
      <c r="AD39" s="27">
        <f t="shared" si="0"/>
        <v>0</v>
      </c>
    </row>
    <row r="40" spans="1:30" x14ac:dyDescent="0.25">
      <c r="A40" s="11">
        <v>33</v>
      </c>
      <c r="B40" s="33" t="s">
        <v>96</v>
      </c>
      <c r="C40" s="22" t="s">
        <v>97</v>
      </c>
      <c r="D40" s="23" t="s">
        <v>36</v>
      </c>
      <c r="E40" s="24"/>
      <c r="F40" s="25">
        <v>19000</v>
      </c>
      <c r="G40" s="25">
        <v>19000</v>
      </c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6"/>
      <c r="AD40" s="27">
        <f t="shared" si="0"/>
        <v>0</v>
      </c>
    </row>
    <row r="41" spans="1:30" x14ac:dyDescent="0.25">
      <c r="A41" s="11">
        <v>34</v>
      </c>
      <c r="B41" s="33" t="s">
        <v>98</v>
      </c>
      <c r="C41" s="22" t="s">
        <v>99</v>
      </c>
      <c r="D41" s="23" t="s">
        <v>36</v>
      </c>
      <c r="E41" s="24"/>
      <c r="F41" s="25"/>
      <c r="G41" s="25"/>
      <c r="H41" s="25">
        <v>242600</v>
      </c>
      <c r="I41" s="25"/>
      <c r="J41" s="25"/>
      <c r="K41" s="25">
        <v>242600</v>
      </c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6"/>
      <c r="AD41" s="27">
        <f t="shared" si="0"/>
        <v>0</v>
      </c>
    </row>
    <row r="42" spans="1:30" x14ac:dyDescent="0.25">
      <c r="A42" s="11">
        <v>35</v>
      </c>
      <c r="B42" s="33" t="s">
        <v>100</v>
      </c>
      <c r="C42" s="22" t="s">
        <v>101</v>
      </c>
      <c r="D42" s="23" t="s">
        <v>36</v>
      </c>
      <c r="E42" s="24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6"/>
      <c r="AD42" s="27">
        <f t="shared" si="0"/>
        <v>0</v>
      </c>
    </row>
    <row r="43" spans="1:30" x14ac:dyDescent="0.25">
      <c r="A43" s="11">
        <v>36</v>
      </c>
      <c r="B43" s="33" t="s">
        <v>102</v>
      </c>
      <c r="C43" s="22" t="s">
        <v>103</v>
      </c>
      <c r="D43" s="23" t="s">
        <v>36</v>
      </c>
      <c r="E43" s="24"/>
      <c r="F43" s="25">
        <f>47412.84</f>
        <v>47412.84</v>
      </c>
      <c r="G43" s="25">
        <v>47412.84</v>
      </c>
      <c r="H43" s="25">
        <v>4014.36</v>
      </c>
      <c r="I43" s="25">
        <v>4014.36</v>
      </c>
      <c r="J43" s="25">
        <f>359219.53</f>
        <v>359219.53</v>
      </c>
      <c r="K43" s="25">
        <f>179609.76</f>
        <v>179609.76</v>
      </c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6"/>
      <c r="AD43" s="27">
        <f t="shared" si="0"/>
        <v>179609.77000000002</v>
      </c>
    </row>
    <row r="44" spans="1:30" x14ac:dyDescent="0.25">
      <c r="A44" s="11">
        <v>37</v>
      </c>
      <c r="B44" s="28" t="s">
        <v>104</v>
      </c>
      <c r="C44" s="22" t="s">
        <v>54</v>
      </c>
      <c r="D44" s="23" t="s">
        <v>36</v>
      </c>
      <c r="E44" s="24">
        <v>0</v>
      </c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6"/>
      <c r="AD44" s="27">
        <f t="shared" si="0"/>
        <v>0</v>
      </c>
    </row>
    <row r="45" spans="1:30" x14ac:dyDescent="0.25">
      <c r="A45" s="11">
        <v>38</v>
      </c>
      <c r="B45" s="28" t="s">
        <v>105</v>
      </c>
      <c r="C45" s="22" t="s">
        <v>106</v>
      </c>
      <c r="D45" s="23" t="s">
        <v>36</v>
      </c>
      <c r="E45" s="24">
        <v>0</v>
      </c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6"/>
      <c r="AD45" s="27">
        <f t="shared" si="0"/>
        <v>0</v>
      </c>
    </row>
    <row r="46" spans="1:30" x14ac:dyDescent="0.25">
      <c r="A46" s="11">
        <v>39</v>
      </c>
      <c r="B46" s="28" t="s">
        <v>107</v>
      </c>
      <c r="C46" s="22" t="s">
        <v>108</v>
      </c>
      <c r="D46" s="23" t="s">
        <v>36</v>
      </c>
      <c r="E46" s="24">
        <v>0</v>
      </c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6"/>
      <c r="AD46" s="27">
        <f t="shared" si="0"/>
        <v>0</v>
      </c>
    </row>
    <row r="47" spans="1:30" x14ac:dyDescent="0.25">
      <c r="A47" s="11">
        <v>40</v>
      </c>
      <c r="B47" s="28" t="s">
        <v>109</v>
      </c>
      <c r="C47" s="22" t="s">
        <v>110</v>
      </c>
      <c r="D47" s="23" t="s">
        <v>36</v>
      </c>
      <c r="E47" s="24">
        <v>47790</v>
      </c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6"/>
      <c r="AD47" s="27">
        <f t="shared" si="0"/>
        <v>47790</v>
      </c>
    </row>
    <row r="48" spans="1:30" x14ac:dyDescent="0.25">
      <c r="A48" s="11">
        <v>41</v>
      </c>
      <c r="B48" s="37" t="s">
        <v>111</v>
      </c>
      <c r="C48" s="22" t="s">
        <v>112</v>
      </c>
      <c r="D48" s="23" t="s">
        <v>36</v>
      </c>
      <c r="E48" s="24"/>
      <c r="F48" s="25">
        <v>220612.8</v>
      </c>
      <c r="G48" s="25"/>
      <c r="H48" s="25"/>
      <c r="I48" s="25">
        <v>220612.8</v>
      </c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6"/>
      <c r="AD48" s="27">
        <f t="shared" si="0"/>
        <v>0</v>
      </c>
    </row>
    <row r="49" spans="1:30" x14ac:dyDescent="0.25">
      <c r="A49" s="11">
        <v>42</v>
      </c>
      <c r="B49" s="37" t="s">
        <v>113</v>
      </c>
      <c r="C49" s="22" t="s">
        <v>114</v>
      </c>
      <c r="D49" s="23" t="s">
        <v>36</v>
      </c>
      <c r="E49" s="24"/>
      <c r="F49" s="25">
        <v>60016.13</v>
      </c>
      <c r="G49" s="25"/>
      <c r="H49" s="25"/>
      <c r="I49" s="25">
        <v>60016.13</v>
      </c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6"/>
      <c r="AD49" s="27">
        <f t="shared" si="0"/>
        <v>0</v>
      </c>
    </row>
    <row r="50" spans="1:30" x14ac:dyDescent="0.25">
      <c r="A50" s="11">
        <v>43</v>
      </c>
      <c r="B50" s="37" t="s">
        <v>115</v>
      </c>
      <c r="C50" s="22" t="s">
        <v>116</v>
      </c>
      <c r="D50" s="23" t="s">
        <v>36</v>
      </c>
      <c r="E50" s="24"/>
      <c r="F50" s="25">
        <v>202500</v>
      </c>
      <c r="G50" s="25"/>
      <c r="H50" s="25"/>
      <c r="I50" s="25">
        <v>202500</v>
      </c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6"/>
      <c r="AD50" s="27">
        <f t="shared" si="0"/>
        <v>0</v>
      </c>
    </row>
    <row r="51" spans="1:30" x14ac:dyDescent="0.25">
      <c r="A51" s="11">
        <v>44</v>
      </c>
      <c r="B51" s="28" t="s">
        <v>117</v>
      </c>
      <c r="C51" s="22" t="s">
        <v>54</v>
      </c>
      <c r="D51" s="23" t="s">
        <v>36</v>
      </c>
      <c r="E51" s="24">
        <v>0</v>
      </c>
      <c r="F51" s="25"/>
      <c r="G51" s="25">
        <v>0</v>
      </c>
      <c r="H51" s="25">
        <v>56495</v>
      </c>
      <c r="I51" s="25">
        <v>56495</v>
      </c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6"/>
      <c r="AD51" s="27">
        <f t="shared" si="0"/>
        <v>0</v>
      </c>
    </row>
    <row r="52" spans="1:30" x14ac:dyDescent="0.25">
      <c r="A52" s="11">
        <v>45</v>
      </c>
      <c r="B52" s="28" t="s">
        <v>118</v>
      </c>
      <c r="C52" s="22"/>
      <c r="D52" s="23" t="s">
        <v>36</v>
      </c>
      <c r="E52" s="24"/>
      <c r="F52" s="25"/>
      <c r="G52" s="25"/>
      <c r="H52" s="25"/>
      <c r="I52" s="25"/>
      <c r="J52" s="25">
        <v>17346</v>
      </c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6"/>
      <c r="AD52" s="27">
        <f t="shared" si="0"/>
        <v>17346</v>
      </c>
    </row>
    <row r="53" spans="1:30" x14ac:dyDescent="0.25">
      <c r="A53" s="11">
        <v>46</v>
      </c>
      <c r="B53" s="33" t="s">
        <v>119</v>
      </c>
      <c r="C53" s="22" t="s">
        <v>120</v>
      </c>
      <c r="D53" s="23" t="s">
        <v>36</v>
      </c>
      <c r="E53" s="24">
        <v>2366</v>
      </c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6"/>
      <c r="AD53" s="27">
        <f t="shared" si="0"/>
        <v>2366</v>
      </c>
    </row>
    <row r="54" spans="1:30" x14ac:dyDescent="0.25">
      <c r="A54" s="11">
        <v>47</v>
      </c>
      <c r="B54" s="33" t="s">
        <v>121</v>
      </c>
      <c r="C54" s="22" t="s">
        <v>54</v>
      </c>
      <c r="D54" s="23" t="s">
        <v>36</v>
      </c>
      <c r="E54" s="24">
        <v>0</v>
      </c>
      <c r="F54" s="25">
        <f>81860</f>
        <v>81860</v>
      </c>
      <c r="G54" s="25"/>
      <c r="H54" s="25"/>
      <c r="I54" s="25">
        <v>81860</v>
      </c>
      <c r="J54" s="25">
        <f>57888</f>
        <v>57888</v>
      </c>
      <c r="K54" s="25">
        <v>57888</v>
      </c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6"/>
      <c r="AD54" s="27">
        <f t="shared" si="0"/>
        <v>0</v>
      </c>
    </row>
    <row r="55" spans="1:30" x14ac:dyDescent="0.25">
      <c r="A55" s="11">
        <v>48</v>
      </c>
      <c r="B55" s="33" t="s">
        <v>122</v>
      </c>
      <c r="C55" s="22" t="s">
        <v>54</v>
      </c>
      <c r="D55" s="23" t="s">
        <v>36</v>
      </c>
      <c r="E55" s="24">
        <v>0</v>
      </c>
      <c r="F55" s="25">
        <f>9247.11+1929.6+1369.62+1950</f>
        <v>14496.330000000002</v>
      </c>
      <c r="G55" s="25"/>
      <c r="H55" s="25"/>
      <c r="I55" s="25">
        <v>14496.33</v>
      </c>
      <c r="J55" s="25">
        <v>3819.3</v>
      </c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6"/>
      <c r="AD55" s="27">
        <f t="shared" si="0"/>
        <v>3819.300000000002</v>
      </c>
    </row>
    <row r="56" spans="1:30" x14ac:dyDescent="0.25">
      <c r="A56" s="11">
        <v>49</v>
      </c>
      <c r="B56" s="33" t="s">
        <v>123</v>
      </c>
      <c r="C56" s="22" t="s">
        <v>124</v>
      </c>
      <c r="D56" s="23" t="s">
        <v>36</v>
      </c>
      <c r="E56" s="24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6"/>
      <c r="AD56" s="27">
        <f t="shared" si="0"/>
        <v>0</v>
      </c>
    </row>
    <row r="57" spans="1:30" x14ac:dyDescent="0.25">
      <c r="A57" s="11">
        <v>50</v>
      </c>
      <c r="B57" s="33" t="s">
        <v>125</v>
      </c>
      <c r="C57" s="22" t="s">
        <v>126</v>
      </c>
      <c r="D57" s="23" t="s">
        <v>36</v>
      </c>
      <c r="E57" s="24"/>
      <c r="F57" s="25">
        <v>50872</v>
      </c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6"/>
      <c r="AD57" s="27">
        <f t="shared" si="0"/>
        <v>50872</v>
      </c>
    </row>
    <row r="58" spans="1:30" x14ac:dyDescent="0.25">
      <c r="A58" s="11">
        <v>51</v>
      </c>
      <c r="B58" s="33" t="s">
        <v>127</v>
      </c>
      <c r="C58" s="22" t="s">
        <v>128</v>
      </c>
      <c r="D58" s="23" t="s">
        <v>36</v>
      </c>
      <c r="E58" s="24">
        <v>324773.76000000001</v>
      </c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6"/>
      <c r="AD58" s="27">
        <f t="shared" si="0"/>
        <v>324773.76000000001</v>
      </c>
    </row>
    <row r="59" spans="1:30" x14ac:dyDescent="0.25">
      <c r="A59" s="11">
        <v>52</v>
      </c>
      <c r="B59" s="33" t="s">
        <v>129</v>
      </c>
      <c r="C59" s="22" t="s">
        <v>38</v>
      </c>
      <c r="D59" s="23" t="s">
        <v>36</v>
      </c>
      <c r="E59" s="24">
        <v>0</v>
      </c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6"/>
      <c r="AD59" s="27">
        <f t="shared" si="0"/>
        <v>0</v>
      </c>
    </row>
    <row r="60" spans="1:30" x14ac:dyDescent="0.25">
      <c r="A60" s="11">
        <v>53</v>
      </c>
      <c r="B60" s="33" t="s">
        <v>130</v>
      </c>
      <c r="C60" s="22" t="s">
        <v>131</v>
      </c>
      <c r="D60" s="23" t="s">
        <v>36</v>
      </c>
      <c r="E60" s="24"/>
      <c r="F60" s="25"/>
      <c r="G60" s="25"/>
      <c r="H60" s="25"/>
      <c r="I60" s="25"/>
      <c r="J60" s="25">
        <v>9440</v>
      </c>
      <c r="K60" s="25">
        <v>9440</v>
      </c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6"/>
      <c r="AD60" s="27">
        <f t="shared" si="0"/>
        <v>0</v>
      </c>
    </row>
    <row r="61" spans="1:30" x14ac:dyDescent="0.25">
      <c r="A61" s="11">
        <v>54</v>
      </c>
      <c r="B61" s="33" t="s">
        <v>132</v>
      </c>
      <c r="C61" s="22" t="s">
        <v>133</v>
      </c>
      <c r="D61" s="23" t="s">
        <v>36</v>
      </c>
      <c r="E61" s="24"/>
      <c r="F61" s="25"/>
      <c r="G61" s="25"/>
      <c r="H61" s="25"/>
      <c r="I61" s="25"/>
      <c r="J61" s="25">
        <v>111000.24</v>
      </c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6"/>
      <c r="AD61" s="27">
        <f t="shared" si="0"/>
        <v>111000.24</v>
      </c>
    </row>
    <row r="62" spans="1:30" ht="23.25" x14ac:dyDescent="0.25">
      <c r="A62" s="11">
        <v>55</v>
      </c>
      <c r="B62" s="33" t="s">
        <v>134</v>
      </c>
      <c r="C62" s="33" t="s">
        <v>135</v>
      </c>
      <c r="D62" s="23" t="s">
        <v>36</v>
      </c>
      <c r="E62" s="24"/>
      <c r="F62" s="25"/>
      <c r="G62" s="25"/>
      <c r="H62" s="25"/>
      <c r="I62" s="25"/>
      <c r="J62" s="25">
        <v>194062.8</v>
      </c>
      <c r="K62" s="25">
        <v>194062.8</v>
      </c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6"/>
      <c r="AD62" s="27">
        <f t="shared" si="0"/>
        <v>0</v>
      </c>
    </row>
    <row r="63" spans="1:30" x14ac:dyDescent="0.25">
      <c r="A63" s="11">
        <v>56</v>
      </c>
      <c r="B63" s="33" t="s">
        <v>136</v>
      </c>
      <c r="C63" s="22" t="s">
        <v>137</v>
      </c>
      <c r="D63" s="23" t="s">
        <v>44</v>
      </c>
      <c r="E63" s="24">
        <v>203719.69</v>
      </c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6"/>
      <c r="AD63" s="27">
        <f t="shared" si="0"/>
        <v>203719.69</v>
      </c>
    </row>
    <row r="64" spans="1:30" x14ac:dyDescent="0.25">
      <c r="A64" s="11">
        <v>57</v>
      </c>
      <c r="B64" s="33" t="s">
        <v>138</v>
      </c>
      <c r="C64" s="22" t="s">
        <v>106</v>
      </c>
      <c r="D64" s="23" t="s">
        <v>139</v>
      </c>
      <c r="E64" s="24">
        <v>0</v>
      </c>
      <c r="F64" s="25">
        <f>147522</f>
        <v>147522</v>
      </c>
      <c r="G64" s="25"/>
      <c r="H64" s="25"/>
      <c r="I64" s="25">
        <v>147522</v>
      </c>
      <c r="J64" s="25">
        <v>72000</v>
      </c>
      <c r="K64" s="25">
        <v>72000</v>
      </c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6"/>
      <c r="AD64" s="27">
        <f t="shared" si="0"/>
        <v>0</v>
      </c>
    </row>
    <row r="65" spans="1:30" x14ac:dyDescent="0.25">
      <c r="A65" s="11">
        <v>58</v>
      </c>
      <c r="B65" s="33" t="s">
        <v>140</v>
      </c>
      <c r="C65" s="22" t="s">
        <v>38</v>
      </c>
      <c r="D65" s="23" t="s">
        <v>36</v>
      </c>
      <c r="E65" s="24"/>
      <c r="F65" s="25"/>
      <c r="G65" s="25"/>
      <c r="H65" s="25">
        <v>24552.959999999999</v>
      </c>
      <c r="I65" s="25"/>
      <c r="J65" s="25">
        <f>10019.84</f>
        <v>10019.84</v>
      </c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6"/>
      <c r="AD65" s="27">
        <f t="shared" si="0"/>
        <v>34572.800000000003</v>
      </c>
    </row>
    <row r="66" spans="1:30" x14ac:dyDescent="0.25">
      <c r="A66" s="11">
        <v>59</v>
      </c>
      <c r="B66" s="33" t="s">
        <v>141</v>
      </c>
      <c r="C66" s="22" t="s">
        <v>54</v>
      </c>
      <c r="D66" s="23" t="s">
        <v>36</v>
      </c>
      <c r="E66" s="24">
        <v>0</v>
      </c>
      <c r="F66" s="25">
        <f>50000+75300</f>
        <v>125300</v>
      </c>
      <c r="G66" s="25">
        <v>125300</v>
      </c>
      <c r="H66" s="25">
        <f>101000</f>
        <v>101000</v>
      </c>
      <c r="I66" s="25"/>
      <c r="J66" s="25">
        <f>222500</f>
        <v>222500</v>
      </c>
      <c r="K66" s="25">
        <f>101000+222500</f>
        <v>323500</v>
      </c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6"/>
      <c r="AD66" s="27">
        <f t="shared" si="0"/>
        <v>0</v>
      </c>
    </row>
    <row r="67" spans="1:30" x14ac:dyDescent="0.25">
      <c r="A67" s="11">
        <v>60</v>
      </c>
      <c r="B67" s="33" t="s">
        <v>142</v>
      </c>
      <c r="C67" s="22" t="s">
        <v>38</v>
      </c>
      <c r="D67" s="23" t="s">
        <v>36</v>
      </c>
      <c r="E67" s="24">
        <v>118365.5</v>
      </c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6"/>
      <c r="AD67" s="27">
        <f t="shared" si="0"/>
        <v>118365.5</v>
      </c>
    </row>
    <row r="68" spans="1:30" x14ac:dyDescent="0.25">
      <c r="A68" s="11">
        <v>61</v>
      </c>
      <c r="B68" s="33" t="s">
        <v>143</v>
      </c>
      <c r="C68" s="22" t="s">
        <v>54</v>
      </c>
      <c r="D68" s="23" t="s">
        <v>36</v>
      </c>
      <c r="E68" s="24">
        <v>0</v>
      </c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6"/>
      <c r="AD68" s="27">
        <f t="shared" si="0"/>
        <v>0</v>
      </c>
    </row>
    <row r="69" spans="1:30" x14ac:dyDescent="0.25">
      <c r="A69" s="11">
        <v>62</v>
      </c>
      <c r="B69" s="33" t="s">
        <v>144</v>
      </c>
      <c r="C69" s="22" t="s">
        <v>54</v>
      </c>
      <c r="D69" s="23" t="s">
        <v>44</v>
      </c>
      <c r="E69" s="24">
        <v>0</v>
      </c>
      <c r="F69" s="25">
        <f>235764+67626</f>
        <v>303390</v>
      </c>
      <c r="G69" s="25">
        <v>235764</v>
      </c>
      <c r="H69" s="25"/>
      <c r="I69" s="25">
        <v>67626</v>
      </c>
      <c r="J69" s="25">
        <f>116436.3+58764</f>
        <v>175200.3</v>
      </c>
      <c r="K69" s="25">
        <v>175200.3</v>
      </c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6"/>
      <c r="AD69" s="27">
        <f t="shared" si="0"/>
        <v>0</v>
      </c>
    </row>
    <row r="70" spans="1:30" x14ac:dyDescent="0.25">
      <c r="A70" s="11">
        <v>63</v>
      </c>
      <c r="B70" s="33" t="s">
        <v>145</v>
      </c>
      <c r="C70" s="22" t="s">
        <v>146</v>
      </c>
      <c r="D70" s="23" t="s">
        <v>36</v>
      </c>
      <c r="E70" s="24">
        <v>0</v>
      </c>
      <c r="F70" s="25">
        <f>162781+201308</f>
        <v>364089</v>
      </c>
      <c r="G70" s="25">
        <v>364089</v>
      </c>
      <c r="H70" s="25">
        <f>198839</f>
        <v>198839</v>
      </c>
      <c r="I70" s="25">
        <v>198839</v>
      </c>
      <c r="J70" s="25">
        <f>171926</f>
        <v>171926</v>
      </c>
      <c r="K70" s="25">
        <v>171926</v>
      </c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6"/>
      <c r="AD70" s="27">
        <f t="shared" si="0"/>
        <v>0</v>
      </c>
    </row>
    <row r="71" spans="1:30" x14ac:dyDescent="0.25">
      <c r="A71" s="11">
        <v>64</v>
      </c>
      <c r="B71" s="33" t="s">
        <v>147</v>
      </c>
      <c r="C71" s="22" t="s">
        <v>146</v>
      </c>
      <c r="D71" s="23" t="s">
        <v>44</v>
      </c>
      <c r="E71" s="24">
        <v>0</v>
      </c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6"/>
      <c r="AD71" s="27">
        <f t="shared" si="0"/>
        <v>0</v>
      </c>
    </row>
    <row r="72" spans="1:30" x14ac:dyDescent="0.25">
      <c r="A72" s="11">
        <v>65</v>
      </c>
      <c r="B72" s="33" t="s">
        <v>148</v>
      </c>
      <c r="C72" s="22" t="s">
        <v>137</v>
      </c>
      <c r="D72" s="23" t="s">
        <v>36</v>
      </c>
      <c r="E72" s="24">
        <v>236708</v>
      </c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6"/>
      <c r="AD72" s="27">
        <f t="shared" si="0"/>
        <v>236708</v>
      </c>
    </row>
    <row r="73" spans="1:30" ht="23.25" x14ac:dyDescent="0.25">
      <c r="A73" s="11">
        <v>66</v>
      </c>
      <c r="B73" s="33" t="s">
        <v>149</v>
      </c>
      <c r="C73" s="22" t="s">
        <v>41</v>
      </c>
      <c r="D73" s="23" t="s">
        <v>150</v>
      </c>
      <c r="E73" s="24">
        <v>0</v>
      </c>
      <c r="F73" s="25">
        <v>18500</v>
      </c>
      <c r="G73" s="25">
        <v>18500</v>
      </c>
      <c r="H73" s="25">
        <v>18500</v>
      </c>
      <c r="I73" s="25">
        <v>18500</v>
      </c>
      <c r="J73" s="25">
        <v>18500</v>
      </c>
      <c r="K73" s="25">
        <v>18500</v>
      </c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6"/>
      <c r="AD73" s="27">
        <f t="shared" si="0"/>
        <v>0</v>
      </c>
    </row>
    <row r="74" spans="1:30" x14ac:dyDescent="0.25">
      <c r="A74" s="11">
        <v>67</v>
      </c>
      <c r="B74" s="33" t="s">
        <v>151</v>
      </c>
      <c r="C74" s="22" t="s">
        <v>152</v>
      </c>
      <c r="D74" s="23" t="s">
        <v>36</v>
      </c>
      <c r="E74" s="24">
        <v>0</v>
      </c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6"/>
      <c r="AD74" s="27">
        <f t="shared" si="0"/>
        <v>0</v>
      </c>
    </row>
    <row r="75" spans="1:30" x14ac:dyDescent="0.25">
      <c r="A75" s="11">
        <v>68</v>
      </c>
      <c r="B75" s="33" t="s">
        <v>153</v>
      </c>
      <c r="C75" s="22" t="s">
        <v>154</v>
      </c>
      <c r="D75" s="23" t="s">
        <v>36</v>
      </c>
      <c r="E75" s="24">
        <v>0</v>
      </c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6"/>
      <c r="AD75" s="27">
        <f t="shared" si="0"/>
        <v>0</v>
      </c>
    </row>
    <row r="76" spans="1:30" x14ac:dyDescent="0.25">
      <c r="A76" s="11">
        <v>69</v>
      </c>
      <c r="B76" s="33" t="s">
        <v>155</v>
      </c>
      <c r="C76" s="22" t="s">
        <v>156</v>
      </c>
      <c r="D76" s="23" t="s">
        <v>36</v>
      </c>
      <c r="E76" s="24">
        <v>4602</v>
      </c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6"/>
      <c r="AD76" s="27">
        <f t="shared" si="0"/>
        <v>4602</v>
      </c>
    </row>
    <row r="77" spans="1:30" x14ac:dyDescent="0.25">
      <c r="A77" s="11">
        <v>70</v>
      </c>
      <c r="B77" s="33" t="s">
        <v>157</v>
      </c>
      <c r="C77" s="22" t="s">
        <v>158</v>
      </c>
      <c r="D77" s="23" t="s">
        <v>36</v>
      </c>
      <c r="E77" s="24">
        <v>0</v>
      </c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6"/>
      <c r="AD77" s="27">
        <f t="shared" si="0"/>
        <v>0</v>
      </c>
    </row>
    <row r="78" spans="1:30" x14ac:dyDescent="0.25">
      <c r="A78" s="11">
        <v>71</v>
      </c>
      <c r="B78" s="33" t="s">
        <v>159</v>
      </c>
      <c r="C78" s="22" t="s">
        <v>160</v>
      </c>
      <c r="D78" s="23" t="s">
        <v>36</v>
      </c>
      <c r="E78" s="24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6"/>
      <c r="AD78" s="27"/>
    </row>
    <row r="79" spans="1:30" x14ac:dyDescent="0.25">
      <c r="A79" s="11">
        <v>72</v>
      </c>
      <c r="B79" s="33" t="s">
        <v>161</v>
      </c>
      <c r="C79" s="22" t="s">
        <v>162</v>
      </c>
      <c r="D79" s="23" t="s">
        <v>36</v>
      </c>
      <c r="E79" s="24">
        <v>0</v>
      </c>
      <c r="F79" s="25">
        <v>134888.89000000001</v>
      </c>
      <c r="G79" s="25">
        <v>134888.89000000001</v>
      </c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6"/>
      <c r="AD79" s="27">
        <f t="shared" ref="AD79:AD145" si="1">E79+F79-G79+H79-I79+J79-K79+L79-M79+N79-O79+P79-Q79+R79-S79+T79-U79+V79-W79+X79-Y79+Z79-AA79+AB79-AC79</f>
        <v>0</v>
      </c>
    </row>
    <row r="80" spans="1:30" x14ac:dyDescent="0.25">
      <c r="A80" s="11">
        <v>73</v>
      </c>
      <c r="B80" s="33" t="s">
        <v>163</v>
      </c>
      <c r="C80" s="22" t="s">
        <v>66</v>
      </c>
      <c r="D80" s="23" t="s">
        <v>36</v>
      </c>
      <c r="E80" s="24">
        <v>0</v>
      </c>
      <c r="F80" s="25">
        <f>2911.97</f>
        <v>2911.97</v>
      </c>
      <c r="G80" s="25">
        <v>2911.97</v>
      </c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6"/>
      <c r="AD80" s="27">
        <f t="shared" si="1"/>
        <v>0</v>
      </c>
    </row>
    <row r="81" spans="1:33" x14ac:dyDescent="0.25">
      <c r="A81" s="11">
        <v>74</v>
      </c>
      <c r="B81" s="33" t="s">
        <v>164</v>
      </c>
      <c r="C81" s="22" t="s">
        <v>165</v>
      </c>
      <c r="D81" s="23" t="s">
        <v>36</v>
      </c>
      <c r="E81" s="24"/>
      <c r="F81" s="25">
        <f>38350</f>
        <v>38350</v>
      </c>
      <c r="G81" s="25">
        <v>38350</v>
      </c>
      <c r="H81" s="25"/>
      <c r="I81" s="25"/>
      <c r="J81" s="25">
        <v>76700</v>
      </c>
      <c r="K81" s="25">
        <v>76700</v>
      </c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6"/>
      <c r="AD81" s="27">
        <f t="shared" si="1"/>
        <v>0</v>
      </c>
    </row>
    <row r="82" spans="1:33" x14ac:dyDescent="0.25">
      <c r="A82" s="11">
        <v>75</v>
      </c>
      <c r="B82" s="33" t="s">
        <v>166</v>
      </c>
      <c r="C82" s="22" t="s">
        <v>43</v>
      </c>
      <c r="D82" s="23" t="s">
        <v>44</v>
      </c>
      <c r="E82" s="24">
        <v>103770.94</v>
      </c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6"/>
      <c r="AD82" s="27">
        <f t="shared" si="1"/>
        <v>103770.94</v>
      </c>
    </row>
    <row r="83" spans="1:33" x14ac:dyDescent="0.25">
      <c r="A83" s="11">
        <v>76</v>
      </c>
      <c r="B83" s="33" t="s">
        <v>167</v>
      </c>
      <c r="C83" s="22" t="s">
        <v>168</v>
      </c>
      <c r="D83" s="23" t="s">
        <v>36</v>
      </c>
      <c r="E83" s="24">
        <v>30500</v>
      </c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6"/>
      <c r="AD83" s="27">
        <f t="shared" si="1"/>
        <v>30500</v>
      </c>
    </row>
    <row r="84" spans="1:33" x14ac:dyDescent="0.25">
      <c r="A84" s="11">
        <v>77</v>
      </c>
      <c r="B84" s="33" t="s">
        <v>169</v>
      </c>
      <c r="C84" s="22" t="s">
        <v>170</v>
      </c>
      <c r="D84" s="23" t="s">
        <v>36</v>
      </c>
      <c r="E84" s="24">
        <v>0</v>
      </c>
      <c r="F84" s="25"/>
      <c r="G84" s="25"/>
      <c r="H84" s="25">
        <f>44234.49</f>
        <v>44234.49</v>
      </c>
      <c r="I84" s="25">
        <v>44234.49</v>
      </c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6"/>
      <c r="AD84" s="27">
        <f t="shared" si="1"/>
        <v>0</v>
      </c>
    </row>
    <row r="85" spans="1:33" x14ac:dyDescent="0.25">
      <c r="A85" s="11">
        <v>78</v>
      </c>
      <c r="B85" s="33" t="s">
        <v>171</v>
      </c>
      <c r="C85" s="22" t="s">
        <v>170</v>
      </c>
      <c r="D85" s="23" t="s">
        <v>36</v>
      </c>
      <c r="E85" s="24">
        <v>0</v>
      </c>
      <c r="F85" s="25">
        <v>68850</v>
      </c>
      <c r="G85" s="25">
        <v>68850</v>
      </c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6"/>
      <c r="AD85" s="27">
        <f t="shared" si="1"/>
        <v>0</v>
      </c>
    </row>
    <row r="86" spans="1:33" x14ac:dyDescent="0.25">
      <c r="A86" s="11">
        <v>79</v>
      </c>
      <c r="B86" s="33" t="s">
        <v>172</v>
      </c>
      <c r="C86" s="22" t="s">
        <v>173</v>
      </c>
      <c r="D86" s="23" t="s">
        <v>139</v>
      </c>
      <c r="E86" s="24">
        <v>0</v>
      </c>
      <c r="F86" s="25"/>
      <c r="G86" s="25"/>
      <c r="H86" s="25">
        <v>140420</v>
      </c>
      <c r="I86" s="25">
        <v>140420</v>
      </c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6"/>
      <c r="AD86" s="27">
        <f t="shared" si="1"/>
        <v>0</v>
      </c>
    </row>
    <row r="87" spans="1:33" x14ac:dyDescent="0.25">
      <c r="A87" s="11">
        <v>80</v>
      </c>
      <c r="B87" s="33" t="s">
        <v>174</v>
      </c>
      <c r="C87" s="22" t="s">
        <v>43</v>
      </c>
      <c r="D87" s="23" t="s">
        <v>139</v>
      </c>
      <c r="E87" s="24">
        <v>0</v>
      </c>
      <c r="F87" s="25">
        <f>87974.06</f>
        <v>87974.06</v>
      </c>
      <c r="G87" s="25">
        <v>87974.06</v>
      </c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6"/>
      <c r="AD87" s="27">
        <f t="shared" si="1"/>
        <v>0</v>
      </c>
    </row>
    <row r="88" spans="1:33" x14ac:dyDescent="0.25">
      <c r="A88" s="11">
        <v>81</v>
      </c>
      <c r="B88" s="33" t="s">
        <v>175</v>
      </c>
      <c r="C88" s="22" t="s">
        <v>176</v>
      </c>
      <c r="D88" s="23" t="s">
        <v>36</v>
      </c>
      <c r="E88" s="24">
        <v>0</v>
      </c>
      <c r="F88" s="25">
        <v>76700</v>
      </c>
      <c r="G88" s="25"/>
      <c r="H88" s="25"/>
      <c r="I88" s="25"/>
      <c r="J88" s="25"/>
      <c r="K88" s="25">
        <v>76700</v>
      </c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6"/>
      <c r="AD88" s="27">
        <f t="shared" si="1"/>
        <v>0</v>
      </c>
    </row>
    <row r="89" spans="1:33" x14ac:dyDescent="0.25">
      <c r="A89" s="11">
        <v>82</v>
      </c>
      <c r="B89" s="33" t="s">
        <v>177</v>
      </c>
      <c r="C89" s="22" t="s">
        <v>178</v>
      </c>
      <c r="D89" s="23" t="s">
        <v>36</v>
      </c>
      <c r="E89" s="24"/>
      <c r="F89" s="25"/>
      <c r="G89" s="25"/>
      <c r="H89" s="25"/>
      <c r="I89" s="25"/>
      <c r="J89" s="25">
        <v>240000</v>
      </c>
      <c r="K89" s="25">
        <v>240000</v>
      </c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6"/>
      <c r="AD89" s="27">
        <f t="shared" si="1"/>
        <v>0</v>
      </c>
    </row>
    <row r="90" spans="1:33" x14ac:dyDescent="0.25">
      <c r="A90" s="11">
        <v>83</v>
      </c>
      <c r="B90" s="33" t="s">
        <v>179</v>
      </c>
      <c r="C90" s="22" t="s">
        <v>180</v>
      </c>
      <c r="D90" s="23" t="s">
        <v>36</v>
      </c>
      <c r="E90" s="24">
        <v>2500</v>
      </c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6"/>
      <c r="AD90" s="27">
        <f t="shared" si="1"/>
        <v>2500</v>
      </c>
    </row>
    <row r="91" spans="1:33" x14ac:dyDescent="0.25">
      <c r="A91" s="11">
        <v>84</v>
      </c>
      <c r="B91" s="33" t="s">
        <v>181</v>
      </c>
      <c r="C91" s="22" t="s">
        <v>182</v>
      </c>
      <c r="D91" s="23" t="s">
        <v>36</v>
      </c>
      <c r="E91" s="24"/>
      <c r="F91" s="25">
        <v>237888</v>
      </c>
      <c r="G91" s="25">
        <v>237888</v>
      </c>
      <c r="H91" s="25">
        <f>245440</f>
        <v>245440</v>
      </c>
      <c r="I91" s="25">
        <v>245440</v>
      </c>
      <c r="J91" s="25">
        <f>124490</f>
        <v>124490</v>
      </c>
      <c r="K91" s="25">
        <v>124490</v>
      </c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6"/>
      <c r="AD91" s="27">
        <f t="shared" si="1"/>
        <v>0</v>
      </c>
    </row>
    <row r="92" spans="1:33" ht="23.25" x14ac:dyDescent="0.25">
      <c r="A92" s="11">
        <v>85</v>
      </c>
      <c r="B92" s="33" t="s">
        <v>183</v>
      </c>
      <c r="C92" s="22" t="s">
        <v>184</v>
      </c>
      <c r="D92" s="23" t="s">
        <v>36</v>
      </c>
      <c r="E92" s="24"/>
      <c r="F92" s="25"/>
      <c r="G92" s="25"/>
      <c r="H92" s="25">
        <v>42480</v>
      </c>
      <c r="I92" s="25">
        <v>42480</v>
      </c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6"/>
      <c r="AD92" s="27">
        <f t="shared" si="1"/>
        <v>0</v>
      </c>
    </row>
    <row r="93" spans="1:33" x14ac:dyDescent="0.25">
      <c r="A93" s="11">
        <v>86</v>
      </c>
      <c r="B93" s="33" t="s">
        <v>185</v>
      </c>
      <c r="C93" s="22" t="s">
        <v>186</v>
      </c>
      <c r="D93" s="23" t="s">
        <v>36</v>
      </c>
      <c r="E93" s="24">
        <v>0</v>
      </c>
      <c r="F93" s="25">
        <f>5495</f>
        <v>5495</v>
      </c>
      <c r="G93" s="25">
        <v>5495</v>
      </c>
      <c r="H93" s="25">
        <v>5495</v>
      </c>
      <c r="I93" s="25">
        <v>5495</v>
      </c>
      <c r="J93" s="25">
        <v>5495</v>
      </c>
      <c r="K93" s="25">
        <f>5495</f>
        <v>5495</v>
      </c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6"/>
      <c r="AD93" s="27">
        <f t="shared" si="1"/>
        <v>0</v>
      </c>
    </row>
    <row r="94" spans="1:33" x14ac:dyDescent="0.25">
      <c r="A94" s="11">
        <v>87</v>
      </c>
      <c r="B94" s="33" t="s">
        <v>187</v>
      </c>
      <c r="C94" s="22" t="s">
        <v>173</v>
      </c>
      <c r="D94" s="23" t="s">
        <v>36</v>
      </c>
      <c r="E94" s="24"/>
      <c r="F94" s="25"/>
      <c r="G94" s="25"/>
      <c r="H94" s="25">
        <v>0</v>
      </c>
      <c r="I94" s="25"/>
      <c r="J94" s="25">
        <v>1423080</v>
      </c>
      <c r="K94" s="25">
        <v>474360</v>
      </c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6"/>
      <c r="AD94" s="27">
        <f t="shared" si="1"/>
        <v>948720</v>
      </c>
    </row>
    <row r="95" spans="1:33" x14ac:dyDescent="0.25">
      <c r="A95" s="11">
        <v>88</v>
      </c>
      <c r="B95" s="33" t="s">
        <v>188</v>
      </c>
      <c r="C95" s="22" t="s">
        <v>189</v>
      </c>
      <c r="D95" s="23" t="s">
        <v>36</v>
      </c>
      <c r="E95" s="24">
        <v>0</v>
      </c>
      <c r="F95" s="25">
        <f>94368+54000+72581</f>
        <v>220949</v>
      </c>
      <c r="G95" s="25">
        <v>148368</v>
      </c>
      <c r="H95" s="25">
        <f>142280-36580</f>
        <v>105700</v>
      </c>
      <c r="I95" s="25">
        <v>72581</v>
      </c>
      <c r="J95" s="25">
        <f>201780+118000+98530</f>
        <v>418310</v>
      </c>
      <c r="K95" s="25">
        <v>425480</v>
      </c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6"/>
      <c r="AD95" s="27">
        <f t="shared" si="1"/>
        <v>98530</v>
      </c>
      <c r="AF95" s="32"/>
      <c r="AG95" s="38"/>
    </row>
    <row r="96" spans="1:33" x14ac:dyDescent="0.25">
      <c r="A96" s="11">
        <v>89</v>
      </c>
      <c r="B96" s="33" t="s">
        <v>190</v>
      </c>
      <c r="C96" s="22" t="s">
        <v>191</v>
      </c>
      <c r="D96" s="23" t="s">
        <v>36</v>
      </c>
      <c r="E96" s="24">
        <v>0</v>
      </c>
      <c r="F96" s="25"/>
      <c r="G96" s="25"/>
      <c r="H96" s="25">
        <f>156866.16+138130.8+109683.36</f>
        <v>404680.31999999995</v>
      </c>
      <c r="I96" s="25">
        <v>404680.32</v>
      </c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6"/>
      <c r="AD96" s="27">
        <f t="shared" si="1"/>
        <v>-5.8207660913467407E-11</v>
      </c>
      <c r="AF96" s="32"/>
      <c r="AG96" s="38"/>
    </row>
    <row r="97" spans="1:32" x14ac:dyDescent="0.25">
      <c r="A97" s="11">
        <v>90</v>
      </c>
      <c r="B97" s="33" t="s">
        <v>192</v>
      </c>
      <c r="C97" s="22" t="s">
        <v>106</v>
      </c>
      <c r="D97" s="23" t="s">
        <v>36</v>
      </c>
      <c r="E97" s="24">
        <v>0</v>
      </c>
      <c r="F97" s="25"/>
      <c r="G97" s="25"/>
      <c r="H97" s="25"/>
      <c r="I97" s="25"/>
      <c r="J97" s="25">
        <v>168429.95</v>
      </c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6"/>
      <c r="AD97" s="27">
        <f t="shared" si="1"/>
        <v>168429.95</v>
      </c>
    </row>
    <row r="98" spans="1:32" x14ac:dyDescent="0.25">
      <c r="A98" s="11">
        <v>91</v>
      </c>
      <c r="B98" s="33" t="s">
        <v>193</v>
      </c>
      <c r="C98" s="22" t="s">
        <v>82</v>
      </c>
      <c r="D98" s="23" t="s">
        <v>36</v>
      </c>
      <c r="E98" s="24">
        <v>0</v>
      </c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6"/>
      <c r="AD98" s="27">
        <f t="shared" si="1"/>
        <v>0</v>
      </c>
      <c r="AF98" s="32"/>
    </row>
    <row r="99" spans="1:32" x14ac:dyDescent="0.25">
      <c r="A99" s="11">
        <v>92</v>
      </c>
      <c r="B99" s="33" t="s">
        <v>194</v>
      </c>
      <c r="C99" s="22" t="s">
        <v>195</v>
      </c>
      <c r="D99" s="23" t="s">
        <v>36</v>
      </c>
      <c r="E99" s="24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6"/>
      <c r="AD99" s="27">
        <f t="shared" si="1"/>
        <v>0</v>
      </c>
      <c r="AF99" s="32"/>
    </row>
    <row r="100" spans="1:32" x14ac:dyDescent="0.25">
      <c r="A100" s="11">
        <v>93</v>
      </c>
      <c r="B100" s="33" t="s">
        <v>196</v>
      </c>
      <c r="C100" s="22" t="s">
        <v>197</v>
      </c>
      <c r="D100" s="23" t="s">
        <v>44</v>
      </c>
      <c r="E100" s="24">
        <v>175000</v>
      </c>
      <c r="F100" s="25">
        <f>230500+125000+125000+136500</f>
        <v>617000</v>
      </c>
      <c r="G100" s="25">
        <v>655500</v>
      </c>
      <c r="H100" s="25">
        <f>225000+175000</f>
        <v>400000</v>
      </c>
      <c r="I100" s="25">
        <v>361500</v>
      </c>
      <c r="J100" s="25">
        <f>180500+194500+164000+139000+119500</f>
        <v>797500</v>
      </c>
      <c r="K100" s="25">
        <f>355500+540629.87</f>
        <v>896129.87</v>
      </c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6"/>
      <c r="AD100" s="27">
        <f t="shared" si="1"/>
        <v>76370.13</v>
      </c>
    </row>
    <row r="101" spans="1:32" x14ac:dyDescent="0.25">
      <c r="A101" s="11">
        <v>94</v>
      </c>
      <c r="B101" s="33" t="s">
        <v>198</v>
      </c>
      <c r="C101" s="22" t="s">
        <v>54</v>
      </c>
      <c r="D101" s="23" t="s">
        <v>36</v>
      </c>
      <c r="E101" s="24">
        <v>0</v>
      </c>
      <c r="F101" s="25"/>
      <c r="G101" s="25"/>
      <c r="H101" s="25"/>
      <c r="I101" s="25"/>
      <c r="J101" s="25">
        <v>61296</v>
      </c>
      <c r="K101" s="25">
        <v>61296</v>
      </c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6"/>
      <c r="AD101" s="27">
        <f t="shared" si="1"/>
        <v>0</v>
      </c>
    </row>
    <row r="102" spans="1:32" x14ac:dyDescent="0.25">
      <c r="A102" s="11">
        <v>95</v>
      </c>
      <c r="B102" s="33" t="s">
        <v>199</v>
      </c>
      <c r="C102" s="22" t="s">
        <v>200</v>
      </c>
      <c r="D102" s="23" t="s">
        <v>36</v>
      </c>
      <c r="E102" s="24">
        <v>1298</v>
      </c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6"/>
      <c r="AD102" s="27">
        <f t="shared" si="1"/>
        <v>1298</v>
      </c>
    </row>
    <row r="103" spans="1:32" x14ac:dyDescent="0.25">
      <c r="A103" s="11">
        <v>96</v>
      </c>
      <c r="B103" s="33" t="s">
        <v>201</v>
      </c>
      <c r="C103" s="22" t="s">
        <v>202</v>
      </c>
      <c r="D103" s="23" t="s">
        <v>36</v>
      </c>
      <c r="E103" s="24">
        <v>0</v>
      </c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6"/>
      <c r="AD103" s="27">
        <f t="shared" si="1"/>
        <v>0</v>
      </c>
    </row>
    <row r="104" spans="1:32" x14ac:dyDescent="0.25">
      <c r="A104" s="11">
        <v>97</v>
      </c>
      <c r="B104" s="33" t="s">
        <v>203</v>
      </c>
      <c r="C104" s="22" t="s">
        <v>204</v>
      </c>
      <c r="D104" s="23" t="s">
        <v>139</v>
      </c>
      <c r="E104" s="24"/>
      <c r="F104" s="25"/>
      <c r="G104" s="25"/>
      <c r="H104" s="25"/>
      <c r="I104" s="25"/>
      <c r="J104" s="25">
        <v>245469.5</v>
      </c>
      <c r="K104" s="25">
        <v>245469.5</v>
      </c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6"/>
      <c r="AD104" s="27">
        <f t="shared" si="1"/>
        <v>0</v>
      </c>
    </row>
    <row r="105" spans="1:32" x14ac:dyDescent="0.25">
      <c r="A105" s="11">
        <v>98</v>
      </c>
      <c r="B105" s="33" t="s">
        <v>205</v>
      </c>
      <c r="C105" s="22" t="s">
        <v>206</v>
      </c>
      <c r="D105" s="23" t="s">
        <v>36</v>
      </c>
      <c r="E105" s="24">
        <v>0</v>
      </c>
      <c r="F105" s="25">
        <f>11250+170320</f>
        <v>181570</v>
      </c>
      <c r="G105" s="25">
        <v>181570</v>
      </c>
      <c r="H105" s="25"/>
      <c r="I105" s="25"/>
      <c r="J105" s="25">
        <v>103040</v>
      </c>
      <c r="K105" s="25">
        <v>103040</v>
      </c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6"/>
      <c r="AD105" s="27">
        <f t="shared" si="1"/>
        <v>0</v>
      </c>
    </row>
    <row r="106" spans="1:32" x14ac:dyDescent="0.25">
      <c r="A106" s="11">
        <v>99</v>
      </c>
      <c r="B106" s="33" t="s">
        <v>207</v>
      </c>
      <c r="C106" s="22" t="s">
        <v>208</v>
      </c>
      <c r="D106" s="23" t="s">
        <v>36</v>
      </c>
      <c r="E106" s="24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6"/>
      <c r="AD106" s="27">
        <f t="shared" si="1"/>
        <v>0</v>
      </c>
    </row>
    <row r="107" spans="1:32" x14ac:dyDescent="0.25">
      <c r="A107" s="11">
        <v>100</v>
      </c>
      <c r="B107" s="33" t="s">
        <v>209</v>
      </c>
      <c r="C107" s="22" t="s">
        <v>197</v>
      </c>
      <c r="D107" s="23" t="s">
        <v>36</v>
      </c>
      <c r="E107" s="24">
        <v>107165</v>
      </c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6"/>
      <c r="AD107" s="27">
        <f t="shared" si="1"/>
        <v>107165</v>
      </c>
    </row>
    <row r="108" spans="1:32" x14ac:dyDescent="0.25">
      <c r="A108" s="11">
        <v>101</v>
      </c>
      <c r="B108" s="33" t="s">
        <v>210</v>
      </c>
      <c r="C108" s="22" t="s">
        <v>54</v>
      </c>
      <c r="D108" s="23" t="s">
        <v>36</v>
      </c>
      <c r="E108" s="24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6"/>
      <c r="AD108" s="27">
        <f t="shared" si="1"/>
        <v>0</v>
      </c>
    </row>
    <row r="109" spans="1:32" x14ac:dyDescent="0.25">
      <c r="A109" s="11">
        <v>102</v>
      </c>
      <c r="B109" s="33" t="s">
        <v>211</v>
      </c>
      <c r="C109" s="22" t="s">
        <v>116</v>
      </c>
      <c r="D109" s="23" t="s">
        <v>36</v>
      </c>
      <c r="E109" s="24"/>
      <c r="F109" s="25"/>
      <c r="G109" s="25"/>
      <c r="H109" s="25"/>
      <c r="I109" s="25"/>
      <c r="J109" s="25">
        <v>48500</v>
      </c>
      <c r="K109" s="25">
        <v>48500</v>
      </c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6"/>
      <c r="AD109" s="27">
        <f t="shared" si="1"/>
        <v>0</v>
      </c>
    </row>
    <row r="110" spans="1:32" x14ac:dyDescent="0.25">
      <c r="A110" s="11">
        <v>103</v>
      </c>
      <c r="B110" s="33" t="s">
        <v>212</v>
      </c>
      <c r="C110" s="22" t="s">
        <v>213</v>
      </c>
      <c r="D110" s="23" t="s">
        <v>36</v>
      </c>
      <c r="E110" s="24"/>
      <c r="F110" s="25"/>
      <c r="G110" s="25"/>
      <c r="H110" s="25">
        <v>183455</v>
      </c>
      <c r="I110" s="25">
        <v>183455</v>
      </c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6"/>
      <c r="AD110" s="27">
        <f t="shared" si="1"/>
        <v>0</v>
      </c>
    </row>
    <row r="111" spans="1:32" x14ac:dyDescent="0.25">
      <c r="A111" s="11">
        <v>104</v>
      </c>
      <c r="B111" s="33" t="s">
        <v>214</v>
      </c>
      <c r="C111" s="22" t="s">
        <v>215</v>
      </c>
      <c r="D111" s="23" t="s">
        <v>36</v>
      </c>
      <c r="E111" s="24"/>
      <c r="F111" s="25"/>
      <c r="G111" s="25"/>
      <c r="H111" s="25"/>
      <c r="I111" s="25"/>
      <c r="J111" s="25">
        <v>123428</v>
      </c>
      <c r="K111" s="25">
        <f>61714</f>
        <v>61714</v>
      </c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6"/>
      <c r="AD111" s="27">
        <f t="shared" si="1"/>
        <v>61714</v>
      </c>
    </row>
    <row r="112" spans="1:32" x14ac:dyDescent="0.25">
      <c r="A112" s="11">
        <v>105</v>
      </c>
      <c r="B112" s="33" t="s">
        <v>216</v>
      </c>
      <c r="C112" s="22" t="s">
        <v>114</v>
      </c>
      <c r="D112" s="23" t="s">
        <v>36</v>
      </c>
      <c r="E112" s="24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6"/>
      <c r="AD112" s="27">
        <f t="shared" si="1"/>
        <v>0</v>
      </c>
    </row>
    <row r="113" spans="1:32" x14ac:dyDescent="0.25">
      <c r="A113" s="11">
        <v>106</v>
      </c>
      <c r="B113" s="33" t="s">
        <v>217</v>
      </c>
      <c r="C113" s="22" t="s">
        <v>54</v>
      </c>
      <c r="D113" s="23" t="s">
        <v>36</v>
      </c>
      <c r="E113" s="24">
        <v>51490</v>
      </c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6"/>
      <c r="AD113" s="27">
        <f t="shared" si="1"/>
        <v>51490</v>
      </c>
    </row>
    <row r="114" spans="1:32" x14ac:dyDescent="0.25">
      <c r="A114" s="11">
        <v>107</v>
      </c>
      <c r="B114" s="33" t="s">
        <v>218</v>
      </c>
      <c r="C114" s="22" t="s">
        <v>219</v>
      </c>
      <c r="D114" s="23" t="s">
        <v>36</v>
      </c>
      <c r="E114" s="24">
        <v>5670.28</v>
      </c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6"/>
      <c r="AD114" s="27">
        <f t="shared" si="1"/>
        <v>5670.28</v>
      </c>
    </row>
    <row r="115" spans="1:32" x14ac:dyDescent="0.25">
      <c r="A115" s="11">
        <v>108</v>
      </c>
      <c r="B115" s="33" t="s">
        <v>220</v>
      </c>
      <c r="C115" s="22" t="s">
        <v>38</v>
      </c>
      <c r="D115" s="23" t="s">
        <v>36</v>
      </c>
      <c r="E115" s="24">
        <v>0</v>
      </c>
      <c r="F115" s="25"/>
      <c r="G115" s="25"/>
      <c r="H115" s="25">
        <v>1560</v>
      </c>
      <c r="I115" s="25"/>
      <c r="J115" s="25"/>
      <c r="K115" s="25">
        <v>1560</v>
      </c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6"/>
      <c r="AD115" s="27">
        <f t="shared" si="1"/>
        <v>0</v>
      </c>
    </row>
    <row r="116" spans="1:32" x14ac:dyDescent="0.25">
      <c r="A116" s="11">
        <v>109</v>
      </c>
      <c r="B116" s="33" t="s">
        <v>221</v>
      </c>
      <c r="C116" s="22" t="s">
        <v>222</v>
      </c>
      <c r="D116" s="23" t="s">
        <v>36</v>
      </c>
      <c r="E116" s="24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6"/>
      <c r="AD116" s="27">
        <f t="shared" si="1"/>
        <v>0</v>
      </c>
    </row>
    <row r="117" spans="1:32" x14ac:dyDescent="0.25">
      <c r="A117" s="11">
        <v>110</v>
      </c>
      <c r="B117" s="33" t="s">
        <v>223</v>
      </c>
      <c r="C117" s="22" t="s">
        <v>146</v>
      </c>
      <c r="D117" s="23" t="s">
        <v>36</v>
      </c>
      <c r="E117" s="24"/>
      <c r="F117" s="25"/>
      <c r="G117" s="25"/>
      <c r="H117" s="25"/>
      <c r="I117" s="25"/>
      <c r="J117" s="25">
        <v>42008</v>
      </c>
      <c r="K117" s="25">
        <v>42008</v>
      </c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6"/>
      <c r="AD117" s="27">
        <f t="shared" si="1"/>
        <v>0</v>
      </c>
    </row>
    <row r="118" spans="1:32" x14ac:dyDescent="0.25">
      <c r="A118" s="11">
        <v>111</v>
      </c>
      <c r="B118" s="33" t="s">
        <v>224</v>
      </c>
      <c r="C118" s="22" t="s">
        <v>54</v>
      </c>
      <c r="D118" s="23" t="s">
        <v>44</v>
      </c>
      <c r="E118" s="24">
        <v>0</v>
      </c>
      <c r="F118" s="25">
        <f>119500+239000</f>
        <v>358500</v>
      </c>
      <c r="G118" s="25">
        <v>358500</v>
      </c>
      <c r="H118" s="25">
        <f>119500</f>
        <v>119500</v>
      </c>
      <c r="I118" s="25"/>
      <c r="J118" s="25">
        <f>239000+79600</f>
        <v>318600</v>
      </c>
      <c r="K118" s="25">
        <f>119500+318600</f>
        <v>438100</v>
      </c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6"/>
      <c r="AD118" s="27">
        <f t="shared" si="1"/>
        <v>0</v>
      </c>
    </row>
    <row r="119" spans="1:32" x14ac:dyDescent="0.25">
      <c r="A119" s="11">
        <v>112</v>
      </c>
      <c r="B119" s="33" t="s">
        <v>225</v>
      </c>
      <c r="C119" s="22" t="s">
        <v>226</v>
      </c>
      <c r="D119" s="23" t="s">
        <v>36</v>
      </c>
      <c r="E119" s="24">
        <v>0</v>
      </c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6"/>
      <c r="AD119" s="27">
        <f t="shared" si="1"/>
        <v>0</v>
      </c>
    </row>
    <row r="120" spans="1:32" x14ac:dyDescent="0.25">
      <c r="A120" s="11">
        <v>113</v>
      </c>
      <c r="B120" s="39" t="s">
        <v>227</v>
      </c>
      <c r="C120" s="22" t="s">
        <v>54</v>
      </c>
      <c r="D120" s="23" t="s">
        <v>36</v>
      </c>
      <c r="E120" s="24">
        <v>167230.35</v>
      </c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6"/>
      <c r="AD120" s="27">
        <f t="shared" si="1"/>
        <v>167230.35</v>
      </c>
    </row>
    <row r="121" spans="1:32" x14ac:dyDescent="0.25">
      <c r="A121" s="11">
        <v>114</v>
      </c>
      <c r="B121" s="33" t="s">
        <v>228</v>
      </c>
      <c r="C121" s="22" t="s">
        <v>229</v>
      </c>
      <c r="D121" s="23" t="s">
        <v>36</v>
      </c>
      <c r="E121" s="24">
        <v>0</v>
      </c>
      <c r="F121" s="25"/>
      <c r="G121" s="25"/>
      <c r="H121" s="25"/>
      <c r="I121" s="25"/>
      <c r="J121" s="25">
        <f>40120+2360</f>
        <v>42480</v>
      </c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6"/>
      <c r="AD121" s="27">
        <f t="shared" si="1"/>
        <v>42480</v>
      </c>
    </row>
    <row r="122" spans="1:32" x14ac:dyDescent="0.25">
      <c r="A122" s="11">
        <v>115</v>
      </c>
      <c r="B122" s="33" t="s">
        <v>230</v>
      </c>
      <c r="C122" s="22" t="s">
        <v>54</v>
      </c>
      <c r="D122" s="23" t="s">
        <v>36</v>
      </c>
      <c r="E122" s="24">
        <v>0</v>
      </c>
      <c r="F122" s="25">
        <f>4675</f>
        <v>4675</v>
      </c>
      <c r="G122" s="25"/>
      <c r="H122" s="25">
        <f>47200</f>
        <v>47200</v>
      </c>
      <c r="I122" s="25">
        <v>4675</v>
      </c>
      <c r="J122" s="25">
        <f>168075+47200</f>
        <v>215275</v>
      </c>
      <c r="K122" s="25">
        <f>47200+215275</f>
        <v>262475</v>
      </c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6"/>
      <c r="AD122" s="27">
        <f t="shared" si="1"/>
        <v>0</v>
      </c>
    </row>
    <row r="123" spans="1:32" x14ac:dyDescent="0.25">
      <c r="A123" s="11">
        <v>116</v>
      </c>
      <c r="B123" s="33" t="s">
        <v>231</v>
      </c>
      <c r="C123" s="22" t="s">
        <v>232</v>
      </c>
      <c r="D123" s="23" t="s">
        <v>36</v>
      </c>
      <c r="E123" s="24"/>
      <c r="F123" s="25"/>
      <c r="G123" s="25"/>
      <c r="H123" s="25">
        <v>47000</v>
      </c>
      <c r="I123" s="25"/>
      <c r="J123" s="25">
        <f>21500+36700</f>
        <v>58200</v>
      </c>
      <c r="K123" s="25">
        <v>105200</v>
      </c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6"/>
      <c r="AD123" s="27">
        <f t="shared" si="1"/>
        <v>0</v>
      </c>
    </row>
    <row r="124" spans="1:32" x14ac:dyDescent="0.25">
      <c r="A124" s="11">
        <v>117</v>
      </c>
      <c r="B124" s="33" t="s">
        <v>233</v>
      </c>
      <c r="C124" s="22" t="s">
        <v>186</v>
      </c>
      <c r="D124" s="23" t="s">
        <v>36</v>
      </c>
      <c r="E124" s="24">
        <v>0</v>
      </c>
      <c r="F124" s="25">
        <v>4500</v>
      </c>
      <c r="G124" s="25">
        <v>4500</v>
      </c>
      <c r="H124" s="25">
        <v>4500</v>
      </c>
      <c r="I124" s="25">
        <v>4500</v>
      </c>
      <c r="J124" s="25">
        <v>4500</v>
      </c>
      <c r="K124" s="25">
        <v>4500</v>
      </c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6"/>
      <c r="AD124" s="27">
        <f t="shared" si="1"/>
        <v>0</v>
      </c>
    </row>
    <row r="125" spans="1:32" x14ac:dyDescent="0.25">
      <c r="A125" s="11">
        <v>118</v>
      </c>
      <c r="B125" s="33" t="s">
        <v>234</v>
      </c>
      <c r="C125" s="22" t="s">
        <v>191</v>
      </c>
      <c r="D125" s="23" t="s">
        <v>139</v>
      </c>
      <c r="E125" s="24">
        <v>0</v>
      </c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6"/>
      <c r="AD125" s="27">
        <f t="shared" si="1"/>
        <v>0</v>
      </c>
    </row>
    <row r="126" spans="1:32" x14ac:dyDescent="0.25">
      <c r="A126" s="11">
        <v>119</v>
      </c>
      <c r="B126" s="33" t="s">
        <v>235</v>
      </c>
      <c r="C126" s="22" t="s">
        <v>236</v>
      </c>
      <c r="D126" s="23" t="s">
        <v>36</v>
      </c>
      <c r="E126" s="24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6"/>
      <c r="AD126" s="27">
        <f t="shared" si="1"/>
        <v>0</v>
      </c>
    </row>
    <row r="127" spans="1:32" x14ac:dyDescent="0.25">
      <c r="A127" s="11">
        <v>120</v>
      </c>
      <c r="B127" s="33" t="s">
        <v>237</v>
      </c>
      <c r="C127" s="22" t="s">
        <v>238</v>
      </c>
      <c r="D127" s="23" t="s">
        <v>36</v>
      </c>
      <c r="E127" s="24">
        <v>0</v>
      </c>
      <c r="F127" s="25">
        <v>10000</v>
      </c>
      <c r="G127" s="25">
        <v>10000</v>
      </c>
      <c r="H127" s="25">
        <v>10000</v>
      </c>
      <c r="I127" s="25">
        <v>10000</v>
      </c>
      <c r="J127" s="25">
        <f>10000</f>
        <v>10000</v>
      </c>
      <c r="K127" s="25">
        <v>10000</v>
      </c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6"/>
      <c r="AD127" s="27">
        <f t="shared" si="1"/>
        <v>0</v>
      </c>
    </row>
    <row r="128" spans="1:32" x14ac:dyDescent="0.25">
      <c r="A128" s="11">
        <v>121</v>
      </c>
      <c r="B128" s="33" t="s">
        <v>239</v>
      </c>
      <c r="C128" s="22" t="s">
        <v>43</v>
      </c>
      <c r="D128" s="23" t="s">
        <v>36</v>
      </c>
      <c r="E128" s="24">
        <v>0</v>
      </c>
      <c r="F128" s="25">
        <f>678327.08</f>
        <v>678327.08</v>
      </c>
      <c r="G128" s="25">
        <v>678327.08</v>
      </c>
      <c r="H128" s="25">
        <f>756913.54</f>
        <v>756913.54</v>
      </c>
      <c r="I128" s="25">
        <v>756913.54</v>
      </c>
      <c r="J128" s="25">
        <f>245495.9</f>
        <v>245495.9</v>
      </c>
      <c r="K128" s="25">
        <v>245495.9</v>
      </c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6"/>
      <c r="AD128" s="27">
        <f t="shared" si="1"/>
        <v>0</v>
      </c>
      <c r="AF128" s="32"/>
    </row>
    <row r="129" spans="1:30" x14ac:dyDescent="0.25">
      <c r="A129" s="11">
        <v>122</v>
      </c>
      <c r="B129" s="33" t="s">
        <v>240</v>
      </c>
      <c r="C129" s="22" t="s">
        <v>241</v>
      </c>
      <c r="D129" s="23" t="s">
        <v>36</v>
      </c>
      <c r="E129" s="24">
        <v>90762.7</v>
      </c>
      <c r="F129" s="25">
        <v>111700</v>
      </c>
      <c r="G129" s="25"/>
      <c r="H129" s="25">
        <f>109777</f>
        <v>109777</v>
      </c>
      <c r="I129" s="25"/>
      <c r="J129" s="25"/>
      <c r="K129" s="25">
        <v>312239.7</v>
      </c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6"/>
      <c r="AD129" s="27">
        <f t="shared" si="1"/>
        <v>0</v>
      </c>
    </row>
    <row r="130" spans="1:30" x14ac:dyDescent="0.25">
      <c r="A130" s="11">
        <v>123</v>
      </c>
      <c r="B130" s="33" t="s">
        <v>242</v>
      </c>
      <c r="C130" s="22" t="s">
        <v>243</v>
      </c>
      <c r="D130" s="23" t="s">
        <v>36</v>
      </c>
      <c r="E130" s="24">
        <v>0</v>
      </c>
      <c r="F130" s="25">
        <f>246636.74</f>
        <v>246636.74</v>
      </c>
      <c r="G130" s="25">
        <v>246636.74</v>
      </c>
      <c r="H130" s="25">
        <v>39749.199999999997</v>
      </c>
      <c r="I130" s="25"/>
      <c r="J130" s="25">
        <f>138762+2940</f>
        <v>141702</v>
      </c>
      <c r="K130" s="25">
        <v>178511.2</v>
      </c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6"/>
      <c r="AD130" s="27">
        <f t="shared" si="1"/>
        <v>2940</v>
      </c>
    </row>
    <row r="131" spans="1:30" x14ac:dyDescent="0.25">
      <c r="A131" s="11">
        <v>124</v>
      </c>
      <c r="B131" s="33" t="s">
        <v>244</v>
      </c>
      <c r="C131" s="22" t="s">
        <v>245</v>
      </c>
      <c r="D131" s="23" t="s">
        <v>36</v>
      </c>
      <c r="E131" s="24">
        <v>0</v>
      </c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6"/>
      <c r="AD131" s="27">
        <f t="shared" si="1"/>
        <v>0</v>
      </c>
    </row>
    <row r="132" spans="1:30" ht="23.25" x14ac:dyDescent="0.25">
      <c r="A132" s="11">
        <v>125</v>
      </c>
      <c r="B132" s="33" t="s">
        <v>246</v>
      </c>
      <c r="C132" s="22" t="s">
        <v>54</v>
      </c>
      <c r="D132" s="23" t="s">
        <v>36</v>
      </c>
      <c r="E132" s="24"/>
      <c r="F132" s="25"/>
      <c r="G132" s="25"/>
      <c r="H132" s="25">
        <v>153000</v>
      </c>
      <c r="I132" s="25"/>
      <c r="J132" s="25"/>
      <c r="K132" s="25">
        <v>153000</v>
      </c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6"/>
      <c r="AD132" s="27">
        <f t="shared" si="1"/>
        <v>0</v>
      </c>
    </row>
    <row r="133" spans="1:30" x14ac:dyDescent="0.25">
      <c r="A133" s="11">
        <v>126</v>
      </c>
      <c r="B133" s="33" t="s">
        <v>247</v>
      </c>
      <c r="C133" s="22" t="s">
        <v>204</v>
      </c>
      <c r="D133" s="23" t="s">
        <v>36</v>
      </c>
      <c r="E133" s="24"/>
      <c r="F133" s="25">
        <f>66857.33+221491.86+177674.27+33651.47</f>
        <v>499674.92999999993</v>
      </c>
      <c r="G133" s="25">
        <v>499674.93</v>
      </c>
      <c r="H133" s="25">
        <f>239022.9+28286.64</f>
        <v>267309.53999999998</v>
      </c>
      <c r="I133" s="25">
        <v>239022.9</v>
      </c>
      <c r="J133" s="25">
        <f>97538.17+240082.76</f>
        <v>337620.93</v>
      </c>
      <c r="K133" s="25">
        <v>365907.57</v>
      </c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6"/>
      <c r="AD133" s="27">
        <f t="shared" si="1"/>
        <v>-5.8207660913467407E-11</v>
      </c>
    </row>
    <row r="134" spans="1:30" x14ac:dyDescent="0.25">
      <c r="A134" s="11">
        <v>127</v>
      </c>
      <c r="B134" s="33" t="s">
        <v>248</v>
      </c>
      <c r="C134" s="22"/>
      <c r="D134" s="23" t="s">
        <v>36</v>
      </c>
      <c r="E134" s="24"/>
      <c r="F134" s="25"/>
      <c r="G134" s="25"/>
      <c r="H134" s="25"/>
      <c r="I134" s="25"/>
      <c r="J134" s="25">
        <f>110023.2</f>
        <v>110023.2</v>
      </c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6"/>
      <c r="AD134" s="27">
        <f t="shared" si="1"/>
        <v>110023.2</v>
      </c>
    </row>
    <row r="135" spans="1:30" x14ac:dyDescent="0.25">
      <c r="A135" s="11">
        <v>128</v>
      </c>
      <c r="B135" s="33" t="s">
        <v>249</v>
      </c>
      <c r="C135" s="22" t="s">
        <v>250</v>
      </c>
      <c r="D135" s="23" t="s">
        <v>36</v>
      </c>
      <c r="E135" s="24">
        <v>1800</v>
      </c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6"/>
      <c r="AD135" s="27">
        <f t="shared" si="1"/>
        <v>1800</v>
      </c>
    </row>
    <row r="136" spans="1:30" x14ac:dyDescent="0.25">
      <c r="A136" s="11">
        <v>129</v>
      </c>
      <c r="B136" s="33" t="s">
        <v>251</v>
      </c>
      <c r="C136" s="22" t="s">
        <v>252</v>
      </c>
      <c r="D136" s="23" t="s">
        <v>36</v>
      </c>
      <c r="E136" s="24">
        <v>13455</v>
      </c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6"/>
      <c r="AD136" s="27">
        <f t="shared" si="1"/>
        <v>13455</v>
      </c>
    </row>
    <row r="137" spans="1:30" x14ac:dyDescent="0.25">
      <c r="A137" s="11">
        <v>130</v>
      </c>
      <c r="B137" s="33" t="s">
        <v>253</v>
      </c>
      <c r="C137" s="22" t="s">
        <v>170</v>
      </c>
      <c r="D137" s="23" t="s">
        <v>36</v>
      </c>
      <c r="E137" s="24">
        <v>0</v>
      </c>
      <c r="F137" s="25"/>
      <c r="G137" s="25"/>
      <c r="H137" s="25">
        <v>231927.8</v>
      </c>
      <c r="I137" s="25"/>
      <c r="J137" s="25"/>
      <c r="K137" s="25">
        <v>231927.8</v>
      </c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30"/>
      <c r="AC137" s="31"/>
      <c r="AD137" s="27">
        <f t="shared" si="1"/>
        <v>0</v>
      </c>
    </row>
    <row r="138" spans="1:30" x14ac:dyDescent="0.25">
      <c r="A138" s="11">
        <v>131</v>
      </c>
      <c r="B138" s="33" t="s">
        <v>254</v>
      </c>
      <c r="C138" s="22" t="s">
        <v>255</v>
      </c>
      <c r="D138" s="23" t="s">
        <v>36</v>
      </c>
      <c r="E138" s="24">
        <v>50088.44</v>
      </c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6"/>
      <c r="AD138" s="27">
        <f t="shared" si="1"/>
        <v>50088.44</v>
      </c>
    </row>
    <row r="139" spans="1:30" x14ac:dyDescent="0.25">
      <c r="A139" s="11">
        <v>132</v>
      </c>
      <c r="B139" s="33" t="s">
        <v>256</v>
      </c>
      <c r="C139" s="22" t="s">
        <v>43</v>
      </c>
      <c r="D139" s="23" t="s">
        <v>44</v>
      </c>
      <c r="E139" s="24">
        <v>0</v>
      </c>
      <c r="F139" s="25">
        <f>101775.8</f>
        <v>101775.8</v>
      </c>
      <c r="G139" s="25">
        <v>101775.8</v>
      </c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6"/>
      <c r="AD139" s="27">
        <f t="shared" si="1"/>
        <v>0</v>
      </c>
    </row>
    <row r="140" spans="1:30" x14ac:dyDescent="0.25">
      <c r="A140" s="11">
        <v>133</v>
      </c>
      <c r="B140" s="33" t="s">
        <v>257</v>
      </c>
      <c r="C140" s="22" t="s">
        <v>106</v>
      </c>
      <c r="D140" s="23" t="s">
        <v>36</v>
      </c>
      <c r="E140" s="24">
        <v>0</v>
      </c>
      <c r="F140" s="25"/>
      <c r="G140" s="25"/>
      <c r="H140" s="25"/>
      <c r="I140" s="25"/>
      <c r="J140" s="25">
        <v>396480</v>
      </c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6"/>
      <c r="AD140" s="27">
        <f t="shared" si="1"/>
        <v>396480</v>
      </c>
    </row>
    <row r="141" spans="1:30" x14ac:dyDescent="0.25">
      <c r="A141" s="11">
        <v>134</v>
      </c>
      <c r="B141" s="21" t="s">
        <v>258</v>
      </c>
      <c r="C141" s="22" t="s">
        <v>259</v>
      </c>
      <c r="D141" s="23" t="s">
        <v>36</v>
      </c>
      <c r="E141" s="24">
        <v>0</v>
      </c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6"/>
      <c r="AD141" s="27">
        <f t="shared" si="1"/>
        <v>0</v>
      </c>
    </row>
    <row r="142" spans="1:30" x14ac:dyDescent="0.25">
      <c r="A142" s="11">
        <v>135</v>
      </c>
      <c r="B142" s="33" t="s">
        <v>260</v>
      </c>
      <c r="C142" s="22" t="s">
        <v>261</v>
      </c>
      <c r="D142" s="23" t="s">
        <v>36</v>
      </c>
      <c r="E142" s="24">
        <v>0</v>
      </c>
      <c r="F142" s="25"/>
      <c r="G142" s="25"/>
      <c r="H142" s="25">
        <v>36850</v>
      </c>
      <c r="I142" s="25">
        <v>36850</v>
      </c>
      <c r="J142" s="25">
        <f>45500+45500</f>
        <v>91000</v>
      </c>
      <c r="K142" s="25">
        <v>91000</v>
      </c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6"/>
      <c r="AD142" s="27">
        <f t="shared" si="1"/>
        <v>0</v>
      </c>
    </row>
    <row r="143" spans="1:30" x14ac:dyDescent="0.25">
      <c r="A143" s="11">
        <v>136</v>
      </c>
      <c r="B143" s="33" t="s">
        <v>262</v>
      </c>
      <c r="C143" s="22" t="s">
        <v>263</v>
      </c>
      <c r="D143" s="23" t="s">
        <v>36</v>
      </c>
      <c r="E143" s="24"/>
      <c r="F143" s="25">
        <v>20000</v>
      </c>
      <c r="G143" s="25">
        <v>20000</v>
      </c>
      <c r="H143" s="25"/>
      <c r="I143" s="25"/>
      <c r="J143" s="25">
        <v>18000</v>
      </c>
      <c r="K143" s="25">
        <v>18000</v>
      </c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6"/>
      <c r="AD143" s="27">
        <f t="shared" si="1"/>
        <v>0</v>
      </c>
    </row>
    <row r="144" spans="1:30" x14ac:dyDescent="0.25">
      <c r="A144" s="11">
        <v>137</v>
      </c>
      <c r="B144" s="33" t="s">
        <v>264</v>
      </c>
      <c r="C144" s="22" t="s">
        <v>265</v>
      </c>
      <c r="D144" s="23" t="s">
        <v>36</v>
      </c>
      <c r="E144" s="24"/>
      <c r="F144" s="25">
        <v>55290</v>
      </c>
      <c r="G144" s="25"/>
      <c r="H144" s="25"/>
      <c r="I144" s="25">
        <v>55290</v>
      </c>
      <c r="J144" s="25">
        <v>117270</v>
      </c>
      <c r="K144" s="25">
        <v>117270</v>
      </c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6"/>
      <c r="AD144" s="27">
        <f t="shared" si="1"/>
        <v>0</v>
      </c>
    </row>
    <row r="145" spans="1:37" ht="15.75" thickBot="1" x14ac:dyDescent="0.3">
      <c r="A145" s="11">
        <v>138</v>
      </c>
      <c r="B145" s="33" t="s">
        <v>266</v>
      </c>
      <c r="C145" s="22" t="s">
        <v>191</v>
      </c>
      <c r="D145" s="23" t="s">
        <v>139</v>
      </c>
      <c r="E145" s="24">
        <v>0</v>
      </c>
      <c r="F145" s="25">
        <f>41300+12720.4</f>
        <v>54020.4</v>
      </c>
      <c r="G145" s="25">
        <v>54020.4</v>
      </c>
      <c r="H145" s="25">
        <f>42775</f>
        <v>42775</v>
      </c>
      <c r="I145" s="25"/>
      <c r="J145" s="25">
        <v>56376.95</v>
      </c>
      <c r="K145" s="25">
        <f>42775</f>
        <v>42775</v>
      </c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6"/>
      <c r="AD145" s="27">
        <f t="shared" si="1"/>
        <v>56376.95</v>
      </c>
    </row>
    <row r="146" spans="1:37" ht="15.75" thickBot="1" x14ac:dyDescent="0.3">
      <c r="A146" s="64"/>
      <c r="B146" s="65"/>
      <c r="C146" s="65"/>
      <c r="D146" s="65"/>
      <c r="E146" s="40">
        <f t="shared" ref="E146:AD146" si="2">SUM(E8:E145)</f>
        <v>2010137.91</v>
      </c>
      <c r="F146" s="41">
        <f t="shared" si="2"/>
        <v>7617192.3200000012</v>
      </c>
      <c r="G146" s="41">
        <f t="shared" si="2"/>
        <v>6287095.0600000015</v>
      </c>
      <c r="H146" s="41">
        <f t="shared" si="2"/>
        <v>6272365.71</v>
      </c>
      <c r="I146" s="41">
        <f t="shared" si="2"/>
        <v>5262584.18</v>
      </c>
      <c r="J146" s="41">
        <f t="shared" si="2"/>
        <v>11019256.859999998</v>
      </c>
      <c r="K146" s="41">
        <f t="shared" si="2"/>
        <v>9544421.5900000017</v>
      </c>
      <c r="L146" s="41">
        <f t="shared" si="2"/>
        <v>0</v>
      </c>
      <c r="M146" s="41">
        <f t="shared" si="2"/>
        <v>0</v>
      </c>
      <c r="N146" s="41">
        <f t="shared" si="2"/>
        <v>0</v>
      </c>
      <c r="O146" s="41">
        <f t="shared" si="2"/>
        <v>0</v>
      </c>
      <c r="P146" s="41">
        <f t="shared" si="2"/>
        <v>0</v>
      </c>
      <c r="Q146" s="41">
        <f t="shared" si="2"/>
        <v>0</v>
      </c>
      <c r="R146" s="41">
        <f t="shared" si="2"/>
        <v>0</v>
      </c>
      <c r="S146" s="41">
        <f t="shared" si="2"/>
        <v>0</v>
      </c>
      <c r="T146" s="41">
        <f t="shared" si="2"/>
        <v>0</v>
      </c>
      <c r="U146" s="41">
        <f t="shared" si="2"/>
        <v>0</v>
      </c>
      <c r="V146" s="41">
        <f t="shared" si="2"/>
        <v>0</v>
      </c>
      <c r="W146" s="41">
        <f t="shared" si="2"/>
        <v>0</v>
      </c>
      <c r="X146" s="41">
        <f t="shared" si="2"/>
        <v>0</v>
      </c>
      <c r="Y146" s="41">
        <f t="shared" si="2"/>
        <v>0</v>
      </c>
      <c r="Z146" s="41">
        <f t="shared" si="2"/>
        <v>0</v>
      </c>
      <c r="AA146" s="41">
        <f t="shared" si="2"/>
        <v>0</v>
      </c>
      <c r="AB146" s="41">
        <f t="shared" si="2"/>
        <v>0</v>
      </c>
      <c r="AC146" s="42">
        <f t="shared" si="2"/>
        <v>0</v>
      </c>
      <c r="AD146" s="43">
        <f t="shared" si="2"/>
        <v>5824851.9700000007</v>
      </c>
      <c r="AF146" s="32">
        <f>AD146-5656422.02</f>
        <v>168429.95000000112</v>
      </c>
      <c r="AG146" s="32">
        <f>AF146-AF29</f>
        <v>168429.95000000112</v>
      </c>
    </row>
    <row r="147" spans="1:37" x14ac:dyDescent="0.25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 t="s">
        <v>267</v>
      </c>
      <c r="AF147" t="s">
        <v>268</v>
      </c>
      <c r="AG147" s="44"/>
    </row>
    <row r="148" spans="1:37" x14ac:dyDescent="0.25">
      <c r="A148" s="45"/>
      <c r="B148" s="46"/>
      <c r="C148" s="46"/>
      <c r="D148" s="46"/>
      <c r="E148" s="47"/>
      <c r="F148" s="48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8"/>
      <c r="AF148" s="32">
        <f>H146-1321463.96</f>
        <v>4950901.75</v>
      </c>
      <c r="AI148" s="44">
        <f>AD146-1723709.23</f>
        <v>4101142.7400000007</v>
      </c>
      <c r="AJ148" s="44">
        <f>AD146-AI148</f>
        <v>1723709.23</v>
      </c>
      <c r="AK148" s="44">
        <f>AD146-3190654.03</f>
        <v>2634197.9400000009</v>
      </c>
    </row>
    <row r="149" spans="1:37" x14ac:dyDescent="0.25"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F149" s="50"/>
    </row>
    <row r="150" spans="1:37" x14ac:dyDescent="0.25">
      <c r="V150" s="51"/>
      <c r="AF150" s="44">
        <f>AD146-H146</f>
        <v>-447513.73999999929</v>
      </c>
    </row>
    <row r="151" spans="1:37" x14ac:dyDescent="0.25">
      <c r="AE151" s="44"/>
      <c r="AF151" s="44"/>
      <c r="AG151" s="44"/>
    </row>
    <row r="152" spans="1:37" x14ac:dyDescent="0.25">
      <c r="B152" s="52" t="s">
        <v>269</v>
      </c>
      <c r="C152" s="66" t="s">
        <v>270</v>
      </c>
      <c r="D152" s="66"/>
      <c r="E152" s="67" t="s">
        <v>271</v>
      </c>
      <c r="F152" s="67"/>
      <c r="AF152" s="44"/>
    </row>
    <row r="153" spans="1:37" ht="24.75" customHeight="1" x14ac:dyDescent="0.35">
      <c r="A153" s="53"/>
      <c r="B153" s="54" t="s">
        <v>272</v>
      </c>
      <c r="C153" s="58" t="s">
        <v>273</v>
      </c>
      <c r="D153" s="58"/>
      <c r="E153" s="59" t="s">
        <v>274</v>
      </c>
      <c r="F153" s="59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</row>
    <row r="154" spans="1:37" x14ac:dyDescent="0.25">
      <c r="A154" s="53"/>
      <c r="B154" s="56" t="s">
        <v>275</v>
      </c>
      <c r="C154" s="60" t="s">
        <v>276</v>
      </c>
      <c r="D154" s="60"/>
      <c r="E154" s="61" t="s">
        <v>277</v>
      </c>
      <c r="F154" s="61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5"/>
      <c r="AA154" s="55"/>
      <c r="AB154" s="55"/>
      <c r="AC154" s="55"/>
    </row>
    <row r="155" spans="1:37" x14ac:dyDescent="0.25">
      <c r="Z155" s="55"/>
      <c r="AA155" s="55"/>
      <c r="AB155" s="55"/>
      <c r="AC155" s="55"/>
    </row>
  </sheetData>
  <mergeCells count="10">
    <mergeCell ref="C153:D153"/>
    <mergeCell ref="E153:F153"/>
    <mergeCell ref="C154:D154"/>
    <mergeCell ref="E154:F154"/>
    <mergeCell ref="A1:AD1"/>
    <mergeCell ref="A2:AD2"/>
    <mergeCell ref="A3:AD3"/>
    <mergeCell ref="A146:D146"/>
    <mergeCell ref="C152:D152"/>
    <mergeCell ref="E152:F152"/>
  </mergeCells>
  <pageMargins left="0.70866141732283472" right="0.70866141732283472" top="0.74803149606299213" bottom="0.74803149606299213" header="0.31496062992125984" footer="0.31496062992125984"/>
  <pageSetup paperSize="5" scale="63" orientation="landscape" horizontalDpi="4294967293" verticalDpi="0" r:id="rId1"/>
  <rowBreaks count="1" manualBreakCount="1">
    <brk id="86" max="29" man="1"/>
  </rowBreaks>
  <colBreaks count="1" manualBreakCount="1">
    <brk id="30" max="1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1</dc:creator>
  <cp:lastModifiedBy>CONTABILIDAD 1</cp:lastModifiedBy>
  <dcterms:created xsi:type="dcterms:W3CDTF">2026-04-01T18:51:44Z</dcterms:created>
  <dcterms:modified xsi:type="dcterms:W3CDTF">2026-04-02T13:43:25Z</dcterms:modified>
</cp:coreProperties>
</file>