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Contabilidad\CONTABILIDAD 2025\Compromisos\"/>
    </mc:Choice>
  </mc:AlternateContent>
  <xr:revisionPtr revIDLastSave="0" documentId="13_ncr:1_{00CFF219-ECA6-4191-9F6E-377BB98D68EB}" xr6:coauthVersionLast="47" xr6:coauthVersionMax="47" xr10:uidLastSave="{00000000-0000-0000-0000-000000000000}"/>
  <bookViews>
    <workbookView xWindow="810" yWindow="-120" windowWidth="28110" windowHeight="16440" tabRatio="859" xr2:uid="{00000000-000D-0000-FFFF-FFFF00000000}"/>
  </bookViews>
  <sheets>
    <sheet name="OBLIGACIONES" sheetId="1" r:id="rId1"/>
    <sheet name="INGRESOS SEGUN ORIGEN" sheetId="32" r:id="rId2"/>
    <sheet name="LISTADO DE ORDENES" sheetId="33" r:id="rId3"/>
    <sheet name="CUENTAS X PAGAR" sheetId="28" r:id="rId4"/>
    <sheet name="DEUDA SUP." sheetId="30" r:id="rId5"/>
    <sheet name="Plantilla Presupuesto" sheetId="17" r:id="rId6"/>
    <sheet name="FR" sheetId="18" r:id="rId7"/>
    <sheet name="VS" sheetId="19" r:id="rId8"/>
    <sheet name="Nómina Interna" sheetId="29" r:id="rId9"/>
    <sheet name="RESUMEN GLOSA X POR MES " sheetId="22" r:id="rId10"/>
    <sheet name="INGRESO POR FACT. ARS" sheetId="8" r:id="rId11"/>
    <sheet name="PROMESE POR MES" sheetId="9" r:id="rId12"/>
    <sheet name="SERVICIOS ARS" sheetId="10" r:id="rId13"/>
    <sheet name="CAPTACION DE INGRESO" sheetId="11" r:id="rId14"/>
    <sheet name="  Estado Financiero 2023" sheetId="16" r:id="rId15"/>
  </sheets>
  <definedNames>
    <definedName name="_xlnm.Print_Area" localSheetId="13">'CAPTACION DE INGRESO'!$A$1:$H$24</definedName>
    <definedName name="_xlnm.Print_Area" localSheetId="3">'CUENTAS X PAGAR'!$A$1:$Y$918</definedName>
    <definedName name="_xlnm.Print_Area" localSheetId="4">'DEUDA SUP.'!$A$1:$G$885</definedName>
    <definedName name="_xlnm.Print_Area" localSheetId="2">'LISTADO DE ORDENES'!$A$1:$I$143</definedName>
    <definedName name="_xlnm.Print_Area" localSheetId="0">OBLIGACIONES!$A$1:$H$31</definedName>
    <definedName name="_xlnm.Print_Area" localSheetId="9">'RESUMEN GLOSA X POR MES '!$A$1:$F$24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9" l="1"/>
  <c r="G225" i="30"/>
  <c r="G221" i="30"/>
  <c r="G214" i="30"/>
  <c r="G210" i="30"/>
  <c r="G197" i="30"/>
  <c r="G194" i="30"/>
  <c r="G191" i="30"/>
  <c r="G188" i="30"/>
  <c r="G185" i="30"/>
  <c r="G182" i="30"/>
  <c r="G179" i="30"/>
  <c r="G174" i="30"/>
  <c r="G170" i="30"/>
  <c r="G158" i="30"/>
  <c r="G155" i="30"/>
  <c r="G152" i="30"/>
  <c r="G149" i="30"/>
  <c r="G145" i="30"/>
  <c r="G142" i="30"/>
  <c r="G139" i="30"/>
  <c r="G132" i="30"/>
  <c r="G125" i="30"/>
  <c r="G122" i="30"/>
  <c r="G119" i="30"/>
  <c r="G114" i="30"/>
  <c r="G103" i="30"/>
  <c r="G99" i="30"/>
  <c r="G92" i="30"/>
  <c r="G93" i="30" s="1"/>
  <c r="G90" i="30"/>
  <c r="G86" i="30"/>
  <c r="G83" i="30"/>
  <c r="G80" i="30"/>
  <c r="G73" i="30"/>
  <c r="G70" i="30"/>
  <c r="G67" i="30"/>
  <c r="G59" i="30"/>
  <c r="G60" i="30" s="1"/>
  <c r="G57" i="30"/>
  <c r="G52" i="30"/>
  <c r="G49" i="30"/>
  <c r="G46" i="30"/>
  <c r="G43" i="30"/>
  <c r="G40" i="30"/>
  <c r="G36" i="30"/>
  <c r="G33" i="30"/>
  <c r="G30" i="30"/>
  <c r="G21" i="30"/>
  <c r="G17" i="30"/>
  <c r="G13" i="30"/>
  <c r="G226" i="30" s="1"/>
  <c r="O890" i="28" l="1"/>
  <c r="O538" i="28"/>
  <c r="O309" i="28"/>
  <c r="S52" i="28"/>
  <c r="P52" i="28"/>
  <c r="M52" i="28"/>
  <c r="K52" i="28"/>
  <c r="J52" i="28"/>
  <c r="H52" i="28"/>
  <c r="G51" i="28"/>
  <c r="E51" i="28"/>
  <c r="Y51" i="28" s="1"/>
  <c r="Y50" i="28"/>
  <c r="T50" i="28"/>
  <c r="Y49" i="28"/>
  <c r="G48" i="28"/>
  <c r="F48" i="28"/>
  <c r="Y48" i="28" s="1"/>
  <c r="Y47" i="28"/>
  <c r="U47" i="28"/>
  <c r="T47" i="28"/>
  <c r="R47" i="28"/>
  <c r="Q47" i="28"/>
  <c r="T46" i="28"/>
  <c r="Y46" i="28" s="1"/>
  <c r="R46" i="28"/>
  <c r="T45" i="28"/>
  <c r="Y45" i="28" s="1"/>
  <c r="G44" i="28"/>
  <c r="Y44" i="28" s="1"/>
  <c r="Y43" i="28"/>
  <c r="T43" i="28"/>
  <c r="T42" i="28"/>
  <c r="Y42" i="28" s="1"/>
  <c r="I41" i="28"/>
  <c r="I52" i="28" s="1"/>
  <c r="Y40" i="28"/>
  <c r="G40" i="28"/>
  <c r="G39" i="28"/>
  <c r="Y39" i="28" s="1"/>
  <c r="T38" i="28"/>
  <c r="Y38" i="28" s="1"/>
  <c r="Y37" i="28"/>
  <c r="L37" i="28"/>
  <c r="L52" i="28" s="1"/>
  <c r="V36" i="28"/>
  <c r="U36" i="28"/>
  <c r="T36" i="28"/>
  <c r="Y36" i="28" s="1"/>
  <c r="Y35" i="28"/>
  <c r="T35" i="28"/>
  <c r="R35" i="28"/>
  <c r="Y34" i="28"/>
  <c r="Y33" i="28"/>
  <c r="G32" i="28"/>
  <c r="Y32" i="28" s="1"/>
  <c r="F32" i="28"/>
  <c r="T31" i="28"/>
  <c r="R31" i="28"/>
  <c r="Y31" i="28" s="1"/>
  <c r="Y30" i="28"/>
  <c r="Y29" i="28"/>
  <c r="T29" i="28"/>
  <c r="R29" i="28"/>
  <c r="G28" i="28"/>
  <c r="F28" i="28"/>
  <c r="F52" i="28" s="1"/>
  <c r="Y27" i="28"/>
  <c r="X26" i="28"/>
  <c r="X52" i="28" s="1"/>
  <c r="V26" i="28"/>
  <c r="V52" i="28" s="1"/>
  <c r="U26" i="28"/>
  <c r="T26" i="28"/>
  <c r="R26" i="28"/>
  <c r="Y26" i="28" s="1"/>
  <c r="Y25" i="28"/>
  <c r="N24" i="28"/>
  <c r="Y24" i="28" s="1"/>
  <c r="T23" i="28"/>
  <c r="Y23" i="28" s="1"/>
  <c r="Y22" i="28"/>
  <c r="M21" i="28"/>
  <c r="Y21" i="28" s="1"/>
  <c r="Y20" i="28"/>
  <c r="Y19" i="28"/>
  <c r="W19" i="28"/>
  <c r="N19" i="28"/>
  <c r="N52" i="28" s="1"/>
  <c r="Y18" i="28"/>
  <c r="I17" i="28"/>
  <c r="Y17" i="28" s="1"/>
  <c r="W16" i="28"/>
  <c r="W52" i="28" s="1"/>
  <c r="U16" i="28"/>
  <c r="U52" i="28" s="1"/>
  <c r="T16" i="28"/>
  <c r="S16" i="28"/>
  <c r="R16" i="28"/>
  <c r="Q16" i="28"/>
  <c r="Q52" i="28" s="1"/>
  <c r="Y15" i="28"/>
  <c r="Y14" i="28"/>
  <c r="T14" i="28"/>
  <c r="T13" i="28"/>
  <c r="R13" i="28"/>
  <c r="Y13" i="28" s="1"/>
  <c r="T12" i="28"/>
  <c r="T52" i="28" s="1"/>
  <c r="R12" i="28"/>
  <c r="Y11" i="28"/>
  <c r="T10" i="28"/>
  <c r="R10" i="28"/>
  <c r="Y10" i="28" s="1"/>
  <c r="Y9" i="28"/>
  <c r="T9" i="28"/>
  <c r="O9" i="28"/>
  <c r="O8" i="28"/>
  <c r="O52" i="28" s="1"/>
  <c r="G397" i="33"/>
  <c r="C129" i="33"/>
  <c r="D128" i="33"/>
  <c r="D127" i="33"/>
  <c r="D126" i="33"/>
  <c r="D125" i="33"/>
  <c r="D124" i="33"/>
  <c r="D123" i="33"/>
  <c r="D122" i="33"/>
  <c r="D121" i="33"/>
  <c r="D120" i="33"/>
  <c r="D119" i="33"/>
  <c r="D117" i="33"/>
  <c r="D116" i="33"/>
  <c r="D115" i="33"/>
  <c r="D114" i="33"/>
  <c r="D113" i="33"/>
  <c r="D112" i="33"/>
  <c r="D111" i="33"/>
  <c r="D110" i="33"/>
  <c r="D109" i="33"/>
  <c r="D108" i="33"/>
  <c r="D107" i="33"/>
  <c r="D106" i="33"/>
  <c r="I105" i="33"/>
  <c r="D105" i="33"/>
  <c r="D129" i="33" s="1"/>
  <c r="H104" i="33"/>
  <c r="H129" i="33" s="1"/>
  <c r="D104" i="33"/>
  <c r="I24" i="33"/>
  <c r="D118" i="33" s="1"/>
  <c r="J23" i="19"/>
  <c r="Q11" i="8"/>
  <c r="Y16" i="28" l="1"/>
  <c r="Y41" i="28"/>
  <c r="Y8" i="28"/>
  <c r="Y28" i="28"/>
  <c r="E52" i="28"/>
  <c r="R52" i="28"/>
  <c r="G52" i="28"/>
  <c r="Y12" i="28"/>
  <c r="I99" i="33"/>
  <c r="I19" i="10"/>
  <c r="G16" i="11"/>
  <c r="G19" i="10"/>
  <c r="R11" i="8"/>
  <c r="E21" i="11"/>
  <c r="Y52" i="28" l="1"/>
  <c r="F129" i="33"/>
  <c r="I104" i="33"/>
  <c r="I129" i="33" s="1"/>
  <c r="I20" i="19"/>
  <c r="I16" i="19"/>
  <c r="E14" i="9" l="1"/>
  <c r="G15" i="11" l="1"/>
  <c r="I18" i="10"/>
  <c r="J18" i="10"/>
  <c r="P11" i="8" l="1"/>
  <c r="P19" i="8"/>
  <c r="O11" i="8" l="1"/>
  <c r="H18" i="10" l="1"/>
  <c r="P17" i="8"/>
  <c r="E13" i="9" l="1"/>
  <c r="G14" i="11" l="1"/>
  <c r="I17" i="10"/>
  <c r="N11" i="8"/>
  <c r="N10" i="8"/>
  <c r="M11" i="8"/>
  <c r="E12" i="9" l="1"/>
  <c r="D34" i="18"/>
  <c r="D22" i="18"/>
  <c r="G72" i="19"/>
  <c r="G52" i="19"/>
  <c r="G31" i="19"/>
  <c r="G26" i="19"/>
  <c r="G24" i="19"/>
  <c r="G16" i="19"/>
  <c r="G13" i="11"/>
  <c r="E9" i="32"/>
  <c r="K11" i="8" l="1"/>
  <c r="I16" i="10"/>
  <c r="L11" i="8" l="1"/>
  <c r="C72" i="18"/>
  <c r="C34" i="18"/>
  <c r="C18" i="18" l="1"/>
  <c r="F16" i="19"/>
  <c r="D20" i="9" l="1"/>
  <c r="G19" i="9"/>
  <c r="F19" i="9"/>
  <c r="F18" i="9"/>
  <c r="G18" i="9" s="1"/>
  <c r="F17" i="9"/>
  <c r="G17" i="9" s="1"/>
  <c r="G16" i="9"/>
  <c r="F16" i="9"/>
  <c r="F15" i="9"/>
  <c r="G15" i="9" s="1"/>
  <c r="F14" i="9"/>
  <c r="G14" i="9" s="1"/>
  <c r="F13" i="9"/>
  <c r="G13" i="9" s="1"/>
  <c r="F12" i="9"/>
  <c r="G12" i="9" s="1"/>
  <c r="E11" i="9"/>
  <c r="F11" i="9" s="1"/>
  <c r="G11" i="9" s="1"/>
  <c r="E10" i="9"/>
  <c r="F10" i="9" s="1"/>
  <c r="G10" i="9" s="1"/>
  <c r="E9" i="9"/>
  <c r="E20" i="9" s="1"/>
  <c r="E8" i="9"/>
  <c r="D8" i="9"/>
  <c r="F8" i="9" s="1"/>
  <c r="G8" i="9" l="1"/>
  <c r="F9" i="9"/>
  <c r="G9" i="9" s="1"/>
  <c r="F20" i="9" l="1"/>
  <c r="I17" i="8" l="1"/>
  <c r="I11" i="8"/>
  <c r="C12" i="11" l="1"/>
  <c r="G12" i="11"/>
  <c r="I15" i="10"/>
  <c r="J11" i="8"/>
  <c r="B12" i="11" l="1"/>
  <c r="G15" i="10"/>
  <c r="G11" i="11"/>
  <c r="H17" i="8" l="1"/>
  <c r="G11" i="8"/>
  <c r="G14" i="10" l="1"/>
  <c r="I14" i="10"/>
  <c r="H26" i="8"/>
  <c r="H11" i="8"/>
  <c r="E44" i="32"/>
  <c r="E16" i="32"/>
  <c r="E45" i="32" l="1"/>
  <c r="E11" i="8"/>
  <c r="G10" i="11" l="1"/>
  <c r="E26" i="8" l="1"/>
  <c r="G13" i="10" l="1"/>
  <c r="I13" i="10"/>
  <c r="F11" i="8"/>
  <c r="C8" i="22" l="1"/>
  <c r="C26" i="19" l="1"/>
  <c r="C24" i="19"/>
  <c r="C22" i="19"/>
  <c r="C20" i="19"/>
  <c r="C16" i="19"/>
  <c r="J12" i="10"/>
  <c r="G9" i="11"/>
  <c r="C11" i="8"/>
  <c r="B83" i="18" l="1"/>
  <c r="B74" i="18"/>
  <c r="B75" i="18"/>
  <c r="B76" i="18"/>
  <c r="B77" i="18"/>
  <c r="B78" i="18"/>
  <c r="B79" i="18"/>
  <c r="B80" i="18"/>
  <c r="B81" i="18"/>
  <c r="B82" i="18"/>
  <c r="B10" i="19"/>
  <c r="B11" i="19"/>
  <c r="B16" i="19"/>
  <c r="B17" i="19"/>
  <c r="B19" i="19"/>
  <c r="B20" i="19"/>
  <c r="B21" i="19"/>
  <c r="D11" i="8"/>
  <c r="I12" i="10"/>
  <c r="G12" i="10"/>
  <c r="D20" i="22" l="1"/>
  <c r="C20" i="22"/>
  <c r="E19" i="22"/>
  <c r="F19" i="22" s="1"/>
  <c r="E18" i="22"/>
  <c r="F18" i="22" s="1"/>
  <c r="E17" i="22"/>
  <c r="F17" i="22" s="1"/>
  <c r="E16" i="22"/>
  <c r="F16" i="22" s="1"/>
  <c r="E15" i="22"/>
  <c r="F15" i="22" s="1"/>
  <c r="E14" i="22"/>
  <c r="F14" i="22" s="1"/>
  <c r="E13" i="22"/>
  <c r="F13" i="22" s="1"/>
  <c r="E12" i="22"/>
  <c r="F12" i="22" s="1"/>
  <c r="E11" i="22"/>
  <c r="F11" i="22" s="1"/>
  <c r="E10" i="22"/>
  <c r="F10" i="22" s="1"/>
  <c r="E9" i="22"/>
  <c r="F9" i="22" s="1"/>
  <c r="E8" i="22"/>
  <c r="E20" i="22" l="1"/>
  <c r="F8" i="22"/>
  <c r="C66" i="18" l="1"/>
  <c r="H15" i="10" l="1"/>
  <c r="U11" i="29" l="1"/>
  <c r="T11" i="29"/>
  <c r="S11" i="29"/>
  <c r="R11" i="29"/>
  <c r="Q11" i="29"/>
  <c r="P11" i="29"/>
  <c r="O11" i="29"/>
  <c r="N11" i="29"/>
  <c r="M11" i="29"/>
  <c r="L11" i="29"/>
  <c r="K11" i="29"/>
  <c r="E72" i="17" l="1"/>
  <c r="D72" i="17"/>
  <c r="C72" i="17" l="1"/>
  <c r="H19" i="10" l="1"/>
  <c r="H17" i="10" l="1"/>
  <c r="E25" i="19" l="1"/>
  <c r="AB28" i="8" l="1"/>
  <c r="AB29" i="8"/>
  <c r="AB30" i="8"/>
  <c r="AA28" i="8"/>
  <c r="AA29" i="8"/>
  <c r="AA30" i="8"/>
  <c r="G21" i="11" l="1"/>
  <c r="F21" i="11"/>
  <c r="D21" i="11"/>
  <c r="C21" i="11"/>
  <c r="B21" i="11"/>
  <c r="H23" i="10"/>
  <c r="F23" i="10" s="1"/>
  <c r="N12" i="8" l="1"/>
  <c r="H22" i="10" l="1"/>
  <c r="F22" i="10" s="1"/>
  <c r="H21" i="10" l="1"/>
  <c r="F21" i="10" s="1"/>
  <c r="H20" i="10" l="1"/>
  <c r="F20" i="10" s="1"/>
  <c r="F19" i="10" l="1"/>
  <c r="F18" i="10" l="1"/>
  <c r="F17" i="10" l="1"/>
  <c r="E19" i="1" l="1"/>
  <c r="H16" i="10" l="1"/>
  <c r="F16" i="10" s="1"/>
  <c r="AA10" i="8" l="1"/>
  <c r="H13" i="10"/>
  <c r="H12" i="10"/>
  <c r="F15" i="10" l="1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AB27" i="8"/>
  <c r="AA14" i="8"/>
  <c r="AA15" i="8"/>
  <c r="AA16" i="8"/>
  <c r="AA17" i="8"/>
  <c r="AA18" i="8"/>
  <c r="AA19" i="8"/>
  <c r="AA20" i="8"/>
  <c r="AA21" i="8"/>
  <c r="AA22" i="8"/>
  <c r="AA23" i="8"/>
  <c r="AA24" i="8"/>
  <c r="AA25" i="8"/>
  <c r="AA26" i="8"/>
  <c r="AA27" i="8"/>
  <c r="AB11" i="8"/>
  <c r="AA11" i="8"/>
  <c r="AB10" i="8"/>
  <c r="AB13" i="8"/>
  <c r="AA13" i="8"/>
  <c r="H14" i="10"/>
  <c r="F14" i="10" s="1"/>
  <c r="F13" i="10"/>
  <c r="F12" i="10"/>
  <c r="D25" i="18" l="1"/>
  <c r="Z12" i="8" l="1"/>
  <c r="Z32" i="8" s="1"/>
  <c r="Y12" i="8"/>
  <c r="Y32" i="8" s="1"/>
  <c r="X12" i="8"/>
  <c r="X32" i="8" s="1"/>
  <c r="W12" i="8"/>
  <c r="W32" i="8" s="1"/>
  <c r="V12" i="8"/>
  <c r="V32" i="8" s="1"/>
  <c r="U12" i="8"/>
  <c r="U32" i="8" s="1"/>
  <c r="T12" i="8"/>
  <c r="T32" i="8" s="1"/>
  <c r="S12" i="8"/>
  <c r="S32" i="8" s="1"/>
  <c r="R12" i="8"/>
  <c r="R32" i="8" s="1"/>
  <c r="Q12" i="8"/>
  <c r="Q32" i="8" s="1"/>
  <c r="P12" i="8"/>
  <c r="P32" i="8" s="1"/>
  <c r="O12" i="8"/>
  <c r="O32" i="8" s="1"/>
  <c r="N32" i="8"/>
  <c r="M12" i="8"/>
  <c r="M32" i="8" s="1"/>
  <c r="L12" i="8"/>
  <c r="K12" i="8"/>
  <c r="J12" i="8"/>
  <c r="J32" i="8" s="1"/>
  <c r="I12" i="8"/>
  <c r="I32" i="8" s="1"/>
  <c r="H12" i="8"/>
  <c r="H32" i="8" s="1"/>
  <c r="G12" i="8"/>
  <c r="G32" i="8" s="1"/>
  <c r="F12" i="8"/>
  <c r="F32" i="8" s="1"/>
  <c r="E12" i="8"/>
  <c r="E32" i="8" s="1"/>
  <c r="D12" i="8"/>
  <c r="D32" i="8" s="1"/>
  <c r="C12" i="8"/>
  <c r="C32" i="8" s="1"/>
  <c r="AB12" i="8" l="1"/>
  <c r="L32" i="8"/>
  <c r="AB32" i="8" s="1"/>
  <c r="AA12" i="8"/>
  <c r="K32" i="8"/>
  <c r="AA32" i="8" s="1"/>
  <c r="H84" i="17"/>
  <c r="H75" i="17"/>
  <c r="H76" i="17"/>
  <c r="H77" i="17"/>
  <c r="H78" i="17"/>
  <c r="H79" i="17"/>
  <c r="H80" i="17"/>
  <c r="H81" i="17"/>
  <c r="H82" i="17"/>
  <c r="H71" i="17"/>
  <c r="H72" i="17"/>
  <c r="H74" i="17"/>
  <c r="H70" i="17"/>
  <c r="H68" i="17"/>
  <c r="H67" i="17"/>
  <c r="H63" i="17"/>
  <c r="H64" i="17"/>
  <c r="H65" i="17"/>
  <c r="H62" i="17"/>
  <c r="H53" i="17"/>
  <c r="H54" i="17"/>
  <c r="H55" i="17"/>
  <c r="H56" i="17"/>
  <c r="H57" i="17"/>
  <c r="H58" i="17"/>
  <c r="H59" i="17"/>
  <c r="H60" i="17"/>
  <c r="H52" i="17"/>
  <c r="H45" i="17"/>
  <c r="H46" i="17"/>
  <c r="H47" i="17"/>
  <c r="H48" i="17"/>
  <c r="H49" i="17"/>
  <c r="H50" i="17"/>
  <c r="H44" i="17"/>
  <c r="H37" i="17"/>
  <c r="H38" i="17"/>
  <c r="H39" i="17"/>
  <c r="H40" i="17"/>
  <c r="H41" i="17"/>
  <c r="H42" i="17"/>
  <c r="H36" i="17"/>
  <c r="H27" i="17"/>
  <c r="H28" i="17"/>
  <c r="H29" i="17"/>
  <c r="H30" i="17"/>
  <c r="H31" i="17"/>
  <c r="H32" i="17"/>
  <c r="H33" i="17"/>
  <c r="H34" i="17"/>
  <c r="H26" i="17"/>
  <c r="H17" i="17"/>
  <c r="H18" i="17"/>
  <c r="H19" i="17"/>
  <c r="H20" i="17"/>
  <c r="H21" i="17"/>
  <c r="H22" i="17"/>
  <c r="H23" i="17"/>
  <c r="H24" i="17"/>
  <c r="H16" i="17"/>
  <c r="J26" i="10" l="1"/>
  <c r="I26" i="10"/>
  <c r="F26" i="10"/>
  <c r="H25" i="10"/>
  <c r="G25" i="10" s="1"/>
  <c r="H24" i="10"/>
  <c r="H26" i="10" s="1"/>
  <c r="G24" i="10" l="1"/>
  <c r="F24" i="10" s="1"/>
  <c r="F25" i="10"/>
  <c r="G26" i="10" l="1"/>
  <c r="B10" i="17"/>
  <c r="B72" i="19" l="1"/>
  <c r="B71" i="19"/>
  <c r="B70" i="19"/>
  <c r="N69" i="19"/>
  <c r="M69" i="19"/>
  <c r="L69" i="19"/>
  <c r="K69" i="19"/>
  <c r="J69" i="19"/>
  <c r="I69" i="19"/>
  <c r="H69" i="19"/>
  <c r="G69" i="19"/>
  <c r="F69" i="19"/>
  <c r="E69" i="19"/>
  <c r="D69" i="19"/>
  <c r="C69" i="19"/>
  <c r="B68" i="19"/>
  <c r="B67" i="19"/>
  <c r="N66" i="19"/>
  <c r="M66" i="19"/>
  <c r="L66" i="19"/>
  <c r="K66" i="19"/>
  <c r="J66" i="19"/>
  <c r="I66" i="19"/>
  <c r="H66" i="19"/>
  <c r="G66" i="19"/>
  <c r="F66" i="19"/>
  <c r="E66" i="19"/>
  <c r="D66" i="19"/>
  <c r="C66" i="19"/>
  <c r="B65" i="19"/>
  <c r="B64" i="19"/>
  <c r="B63" i="19"/>
  <c r="B62" i="19"/>
  <c r="N61" i="19"/>
  <c r="M61" i="19"/>
  <c r="L61" i="19"/>
  <c r="K61" i="19"/>
  <c r="J61" i="19"/>
  <c r="I61" i="19"/>
  <c r="H61" i="19"/>
  <c r="G61" i="19"/>
  <c r="F61" i="19"/>
  <c r="E61" i="19"/>
  <c r="D61" i="19"/>
  <c r="C61" i="19"/>
  <c r="B60" i="19"/>
  <c r="B59" i="19"/>
  <c r="B58" i="19"/>
  <c r="B57" i="19"/>
  <c r="B56" i="19"/>
  <c r="B55" i="19"/>
  <c r="B54" i="19"/>
  <c r="B53" i="19"/>
  <c r="B52" i="19"/>
  <c r="N51" i="19"/>
  <c r="M51" i="19"/>
  <c r="L51" i="19"/>
  <c r="K51" i="19"/>
  <c r="J51" i="19"/>
  <c r="I51" i="19"/>
  <c r="H51" i="19"/>
  <c r="G51" i="19"/>
  <c r="F51" i="19"/>
  <c r="E51" i="19"/>
  <c r="D51" i="19"/>
  <c r="C51" i="19"/>
  <c r="B50" i="19"/>
  <c r="B49" i="19"/>
  <c r="B48" i="19"/>
  <c r="B47" i="19"/>
  <c r="B46" i="19"/>
  <c r="B45" i="19"/>
  <c r="B44" i="19"/>
  <c r="N43" i="19"/>
  <c r="M43" i="19"/>
  <c r="L43" i="19"/>
  <c r="K43" i="19"/>
  <c r="J43" i="19"/>
  <c r="I43" i="19"/>
  <c r="H43" i="19"/>
  <c r="G43" i="19"/>
  <c r="F43" i="19"/>
  <c r="E43" i="19"/>
  <c r="D43" i="19"/>
  <c r="C43" i="19"/>
  <c r="B42" i="19"/>
  <c r="B41" i="19"/>
  <c r="B40" i="19"/>
  <c r="B39" i="19"/>
  <c r="B38" i="19"/>
  <c r="B37" i="19"/>
  <c r="B36" i="19"/>
  <c r="N35" i="19"/>
  <c r="M35" i="19"/>
  <c r="L35" i="19"/>
  <c r="K35" i="19"/>
  <c r="J35" i="19"/>
  <c r="I35" i="19"/>
  <c r="H35" i="19"/>
  <c r="G35" i="19"/>
  <c r="F35" i="19"/>
  <c r="E35" i="19"/>
  <c r="D35" i="19"/>
  <c r="C35" i="19"/>
  <c r="B34" i="19"/>
  <c r="B33" i="19"/>
  <c r="B32" i="19"/>
  <c r="B31" i="19"/>
  <c r="B30" i="19"/>
  <c r="B29" i="19"/>
  <c r="B28" i="19"/>
  <c r="B27" i="19"/>
  <c r="B26" i="19"/>
  <c r="N25" i="19"/>
  <c r="M25" i="19"/>
  <c r="L25" i="19"/>
  <c r="K25" i="19"/>
  <c r="J25" i="19"/>
  <c r="I25" i="19"/>
  <c r="H25" i="19"/>
  <c r="G25" i="19"/>
  <c r="F25" i="19"/>
  <c r="D25" i="19"/>
  <c r="C25" i="19"/>
  <c r="B24" i="19"/>
  <c r="B23" i="19"/>
  <c r="B22" i="19"/>
  <c r="B18" i="19"/>
  <c r="N15" i="19"/>
  <c r="M15" i="19"/>
  <c r="L15" i="19"/>
  <c r="K15" i="19"/>
  <c r="J15" i="19"/>
  <c r="I15" i="19"/>
  <c r="H15" i="19"/>
  <c r="G15" i="19"/>
  <c r="F15" i="19"/>
  <c r="E15" i="19"/>
  <c r="D15" i="19"/>
  <c r="C15" i="19"/>
  <c r="B14" i="19"/>
  <c r="B13" i="19"/>
  <c r="B12" i="19"/>
  <c r="N9" i="19"/>
  <c r="M9" i="19"/>
  <c r="L9" i="19"/>
  <c r="K9" i="19"/>
  <c r="J9" i="19"/>
  <c r="I9" i="19"/>
  <c r="H9" i="19"/>
  <c r="G9" i="19"/>
  <c r="F9" i="19"/>
  <c r="E9" i="19"/>
  <c r="D9" i="19"/>
  <c r="C9" i="19"/>
  <c r="B72" i="18"/>
  <c r="B71" i="18"/>
  <c r="B70" i="18"/>
  <c r="N69" i="18"/>
  <c r="M69" i="18"/>
  <c r="L69" i="18"/>
  <c r="K69" i="18"/>
  <c r="J69" i="18"/>
  <c r="I69" i="18"/>
  <c r="H69" i="18"/>
  <c r="G69" i="18"/>
  <c r="F69" i="18"/>
  <c r="E69" i="18"/>
  <c r="D69" i="18"/>
  <c r="C69" i="18"/>
  <c r="B68" i="18"/>
  <c r="B67" i="18"/>
  <c r="N66" i="18"/>
  <c r="M66" i="18"/>
  <c r="L66" i="18"/>
  <c r="K66" i="18"/>
  <c r="J66" i="18"/>
  <c r="I66" i="18"/>
  <c r="H66" i="18"/>
  <c r="G66" i="18"/>
  <c r="F66" i="18"/>
  <c r="E66" i="18"/>
  <c r="D66" i="18"/>
  <c r="B65" i="18"/>
  <c r="B64" i="18"/>
  <c r="B63" i="18"/>
  <c r="B62" i="18"/>
  <c r="N61" i="18"/>
  <c r="M61" i="18"/>
  <c r="L61" i="18"/>
  <c r="K61" i="18"/>
  <c r="J61" i="18"/>
  <c r="I61" i="18"/>
  <c r="H61" i="18"/>
  <c r="G61" i="18"/>
  <c r="F61" i="18"/>
  <c r="E61" i="18"/>
  <c r="D61" i="18"/>
  <c r="C61" i="18"/>
  <c r="B60" i="18"/>
  <c r="B59" i="18"/>
  <c r="B58" i="18"/>
  <c r="B57" i="18"/>
  <c r="B56" i="18"/>
  <c r="B55" i="18"/>
  <c r="B54" i="18"/>
  <c r="B53" i="18"/>
  <c r="B52" i="18"/>
  <c r="N51" i="18"/>
  <c r="M51" i="18"/>
  <c r="L51" i="18"/>
  <c r="K51" i="18"/>
  <c r="J51" i="18"/>
  <c r="I51" i="18"/>
  <c r="H51" i="18"/>
  <c r="G51" i="18"/>
  <c r="F51" i="18"/>
  <c r="E51" i="18"/>
  <c r="D51" i="18"/>
  <c r="C51" i="18"/>
  <c r="B50" i="18"/>
  <c r="B49" i="18"/>
  <c r="B48" i="18"/>
  <c r="B47" i="18"/>
  <c r="B46" i="18"/>
  <c r="B45" i="18"/>
  <c r="B44" i="18"/>
  <c r="N43" i="18"/>
  <c r="M43" i="18"/>
  <c r="L43" i="18"/>
  <c r="K43" i="18"/>
  <c r="J43" i="18"/>
  <c r="I43" i="18"/>
  <c r="H43" i="18"/>
  <c r="G43" i="18"/>
  <c r="F43" i="18"/>
  <c r="E43" i="18"/>
  <c r="D43" i="18"/>
  <c r="C43" i="18"/>
  <c r="B42" i="18"/>
  <c r="B41" i="18"/>
  <c r="B40" i="18"/>
  <c r="B39" i="18"/>
  <c r="B38" i="18"/>
  <c r="B37" i="18"/>
  <c r="B36" i="18"/>
  <c r="N35" i="18"/>
  <c r="M35" i="18"/>
  <c r="L35" i="18"/>
  <c r="K35" i="18"/>
  <c r="J35" i="18"/>
  <c r="I35" i="18"/>
  <c r="H35" i="18"/>
  <c r="G35" i="18"/>
  <c r="F35" i="18"/>
  <c r="E35" i="18"/>
  <c r="D35" i="18"/>
  <c r="C35" i="18"/>
  <c r="B34" i="18"/>
  <c r="B33" i="18"/>
  <c r="B32" i="18"/>
  <c r="B31" i="18"/>
  <c r="B30" i="18"/>
  <c r="B29" i="18"/>
  <c r="B28" i="18"/>
  <c r="B27" i="18"/>
  <c r="B26" i="18"/>
  <c r="N25" i="18"/>
  <c r="M25" i="18"/>
  <c r="L25" i="18"/>
  <c r="K25" i="18"/>
  <c r="J25" i="18"/>
  <c r="I25" i="18"/>
  <c r="H25" i="18"/>
  <c r="G25" i="18"/>
  <c r="F25" i="18"/>
  <c r="E25" i="18"/>
  <c r="C25" i="18"/>
  <c r="B24" i="18"/>
  <c r="B23" i="18"/>
  <c r="B22" i="18"/>
  <c r="B21" i="18"/>
  <c r="B20" i="18"/>
  <c r="B19" i="18"/>
  <c r="B18" i="18"/>
  <c r="B17" i="18"/>
  <c r="B16" i="18"/>
  <c r="N15" i="18"/>
  <c r="M15" i="18"/>
  <c r="L15" i="18"/>
  <c r="K15" i="18"/>
  <c r="J15" i="18"/>
  <c r="I15" i="18"/>
  <c r="H15" i="18"/>
  <c r="G15" i="18"/>
  <c r="F15" i="18"/>
  <c r="E15" i="18"/>
  <c r="D15" i="18"/>
  <c r="C15" i="18"/>
  <c r="B14" i="18"/>
  <c r="B13" i="18"/>
  <c r="B12" i="18"/>
  <c r="B11" i="18"/>
  <c r="B10" i="18"/>
  <c r="N9" i="18"/>
  <c r="M9" i="18"/>
  <c r="L9" i="18"/>
  <c r="K9" i="18"/>
  <c r="J9" i="18"/>
  <c r="I9" i="18"/>
  <c r="H9" i="18"/>
  <c r="G9" i="18"/>
  <c r="F9" i="18"/>
  <c r="E9" i="18"/>
  <c r="D9" i="18"/>
  <c r="C9" i="18"/>
  <c r="J84" i="17"/>
  <c r="I84" i="17"/>
  <c r="I83" i="17" s="1"/>
  <c r="G84" i="17"/>
  <c r="G83" i="17" s="1"/>
  <c r="E84" i="17"/>
  <c r="D84" i="17"/>
  <c r="C84" i="17"/>
  <c r="M84" i="17" s="1"/>
  <c r="B84" i="17"/>
  <c r="J83" i="17"/>
  <c r="H83" i="17"/>
  <c r="E83" i="17"/>
  <c r="J82" i="17"/>
  <c r="I82" i="17"/>
  <c r="G82" i="17"/>
  <c r="E82" i="17"/>
  <c r="D82" i="17"/>
  <c r="C82" i="17"/>
  <c r="M82" i="17" s="1"/>
  <c r="B82" i="17"/>
  <c r="J81" i="17"/>
  <c r="I81" i="17"/>
  <c r="G81" i="17"/>
  <c r="E81" i="17"/>
  <c r="D81" i="17"/>
  <c r="C81" i="17"/>
  <c r="M81" i="17" s="1"/>
  <c r="B81" i="17"/>
  <c r="J80" i="17"/>
  <c r="I80" i="17"/>
  <c r="G80" i="17"/>
  <c r="E80" i="17"/>
  <c r="D80" i="17"/>
  <c r="C80" i="17"/>
  <c r="M80" i="17" s="1"/>
  <c r="B80" i="17"/>
  <c r="L80" i="17" s="1"/>
  <c r="J79" i="17"/>
  <c r="I79" i="17"/>
  <c r="G79" i="17"/>
  <c r="E79" i="17"/>
  <c r="D79" i="17"/>
  <c r="C79" i="17"/>
  <c r="M79" i="17" s="1"/>
  <c r="B79" i="17"/>
  <c r="L79" i="17" s="1"/>
  <c r="J78" i="17"/>
  <c r="I78" i="17"/>
  <c r="G78" i="17"/>
  <c r="E78" i="17"/>
  <c r="D78" i="17"/>
  <c r="C78" i="17"/>
  <c r="M78" i="17" s="1"/>
  <c r="B78" i="17"/>
  <c r="J77" i="17"/>
  <c r="I77" i="17"/>
  <c r="G77" i="17"/>
  <c r="E77" i="17"/>
  <c r="O77" i="17" s="1"/>
  <c r="D77" i="17"/>
  <c r="C77" i="17"/>
  <c r="M77" i="17" s="1"/>
  <c r="B77" i="17"/>
  <c r="L77" i="17" s="1"/>
  <c r="J76" i="17"/>
  <c r="I76" i="17"/>
  <c r="G76" i="17"/>
  <c r="E76" i="17"/>
  <c r="D76" i="17"/>
  <c r="N76" i="17" s="1"/>
  <c r="C76" i="17"/>
  <c r="M76" i="17" s="1"/>
  <c r="B76" i="17"/>
  <c r="J75" i="17"/>
  <c r="I75" i="17"/>
  <c r="G75" i="17"/>
  <c r="E75" i="17"/>
  <c r="D75" i="17"/>
  <c r="C75" i="17"/>
  <c r="M75" i="17" s="1"/>
  <c r="B75" i="17"/>
  <c r="J74" i="17"/>
  <c r="I74" i="17"/>
  <c r="G74" i="17"/>
  <c r="E74" i="17"/>
  <c r="D74" i="17"/>
  <c r="C74" i="17"/>
  <c r="M74" i="17" s="1"/>
  <c r="B74" i="17"/>
  <c r="L74" i="17" s="1"/>
  <c r="J72" i="17"/>
  <c r="I72" i="17"/>
  <c r="G72" i="17"/>
  <c r="M72" i="17"/>
  <c r="B72" i="17"/>
  <c r="J71" i="17"/>
  <c r="I71" i="17"/>
  <c r="G71" i="17"/>
  <c r="E71" i="17"/>
  <c r="D71" i="17"/>
  <c r="C71" i="17"/>
  <c r="M71" i="17" s="1"/>
  <c r="B71" i="17"/>
  <c r="J70" i="17"/>
  <c r="I70" i="17"/>
  <c r="G70" i="17"/>
  <c r="E70" i="17"/>
  <c r="D70" i="17"/>
  <c r="D69" i="17" s="1"/>
  <c r="C70" i="17"/>
  <c r="M70" i="17" s="1"/>
  <c r="B70" i="17"/>
  <c r="L70" i="17" s="1"/>
  <c r="H69" i="17"/>
  <c r="J68" i="17"/>
  <c r="I68" i="17"/>
  <c r="G68" i="17"/>
  <c r="E68" i="17"/>
  <c r="E66" i="17" s="1"/>
  <c r="D68" i="17"/>
  <c r="C68" i="17"/>
  <c r="M68" i="17" s="1"/>
  <c r="B68" i="17"/>
  <c r="J67" i="17"/>
  <c r="I67" i="17"/>
  <c r="G67" i="17"/>
  <c r="E67" i="17"/>
  <c r="O67" i="17" s="1"/>
  <c r="D67" i="17"/>
  <c r="C67" i="17"/>
  <c r="M67" i="17" s="1"/>
  <c r="B67" i="17"/>
  <c r="I66" i="17"/>
  <c r="H66" i="17"/>
  <c r="J65" i="17"/>
  <c r="I65" i="17"/>
  <c r="G65" i="17"/>
  <c r="E65" i="17"/>
  <c r="D65" i="17"/>
  <c r="C65" i="17"/>
  <c r="M65" i="17" s="1"/>
  <c r="B65" i="17"/>
  <c r="J64" i="17"/>
  <c r="I64" i="17"/>
  <c r="G64" i="17"/>
  <c r="E64" i="17"/>
  <c r="D64" i="17"/>
  <c r="C64" i="17"/>
  <c r="M64" i="17" s="1"/>
  <c r="B64" i="17"/>
  <c r="J63" i="17"/>
  <c r="I63" i="17"/>
  <c r="G63" i="17"/>
  <c r="E63" i="17"/>
  <c r="D63" i="17"/>
  <c r="N63" i="17" s="1"/>
  <c r="C63" i="17"/>
  <c r="M63" i="17" s="1"/>
  <c r="B63" i="17"/>
  <c r="J62" i="17"/>
  <c r="I62" i="17"/>
  <c r="G62" i="17"/>
  <c r="E62" i="17"/>
  <c r="D62" i="17"/>
  <c r="C62" i="17"/>
  <c r="M62" i="17" s="1"/>
  <c r="B62" i="17"/>
  <c r="L62" i="17" s="1"/>
  <c r="H61" i="17"/>
  <c r="J60" i="17"/>
  <c r="I60" i="17"/>
  <c r="G60" i="17"/>
  <c r="E60" i="17"/>
  <c r="D60" i="17"/>
  <c r="C60" i="17"/>
  <c r="M60" i="17" s="1"/>
  <c r="B60" i="17"/>
  <c r="J59" i="17"/>
  <c r="I59" i="17"/>
  <c r="G59" i="17"/>
  <c r="E59" i="17"/>
  <c r="D59" i="17"/>
  <c r="C59" i="17"/>
  <c r="M59" i="17" s="1"/>
  <c r="B59" i="17"/>
  <c r="J58" i="17"/>
  <c r="I58" i="17"/>
  <c r="G58" i="17"/>
  <c r="E58" i="17"/>
  <c r="D58" i="17"/>
  <c r="C58" i="17"/>
  <c r="M58" i="17" s="1"/>
  <c r="B58" i="17"/>
  <c r="J57" i="17"/>
  <c r="I57" i="17"/>
  <c r="G57" i="17"/>
  <c r="E57" i="17"/>
  <c r="D57" i="17"/>
  <c r="C57" i="17"/>
  <c r="M57" i="17" s="1"/>
  <c r="B57" i="17"/>
  <c r="J56" i="17"/>
  <c r="I56" i="17"/>
  <c r="G56" i="17"/>
  <c r="E56" i="17"/>
  <c r="D56" i="17"/>
  <c r="C56" i="17"/>
  <c r="M56" i="17" s="1"/>
  <c r="B56" i="17"/>
  <c r="J55" i="17"/>
  <c r="I55" i="17"/>
  <c r="G55" i="17"/>
  <c r="E55" i="17"/>
  <c r="D55" i="17"/>
  <c r="C55" i="17"/>
  <c r="M55" i="17" s="1"/>
  <c r="B55" i="17"/>
  <c r="J54" i="17"/>
  <c r="I54" i="17"/>
  <c r="G54" i="17"/>
  <c r="E54" i="17"/>
  <c r="D54" i="17"/>
  <c r="C54" i="17"/>
  <c r="M54" i="17" s="1"/>
  <c r="B54" i="17"/>
  <c r="J53" i="17"/>
  <c r="I53" i="17"/>
  <c r="G53" i="17"/>
  <c r="E53" i="17"/>
  <c r="D53" i="17"/>
  <c r="C53" i="17"/>
  <c r="M53" i="17" s="1"/>
  <c r="B53" i="17"/>
  <c r="J52" i="17"/>
  <c r="I52" i="17"/>
  <c r="G52" i="17"/>
  <c r="E52" i="17"/>
  <c r="D52" i="17"/>
  <c r="C52" i="17"/>
  <c r="M52" i="17" s="1"/>
  <c r="B52" i="17"/>
  <c r="H51" i="17"/>
  <c r="J50" i="17"/>
  <c r="I50" i="17"/>
  <c r="G50" i="17"/>
  <c r="E50" i="17"/>
  <c r="D50" i="17"/>
  <c r="C50" i="17"/>
  <c r="M50" i="17" s="1"/>
  <c r="B50" i="17"/>
  <c r="J49" i="17"/>
  <c r="I49" i="17"/>
  <c r="G49" i="17"/>
  <c r="E49" i="17"/>
  <c r="D49" i="17"/>
  <c r="C49" i="17"/>
  <c r="M49" i="17" s="1"/>
  <c r="B49" i="17"/>
  <c r="J48" i="17"/>
  <c r="I48" i="17"/>
  <c r="G48" i="17"/>
  <c r="E48" i="17"/>
  <c r="D48" i="17"/>
  <c r="C48" i="17"/>
  <c r="M48" i="17" s="1"/>
  <c r="B48" i="17"/>
  <c r="J47" i="17"/>
  <c r="I47" i="17"/>
  <c r="G47" i="17"/>
  <c r="E47" i="17"/>
  <c r="D47" i="17"/>
  <c r="C47" i="17"/>
  <c r="M47" i="17" s="1"/>
  <c r="B47" i="17"/>
  <c r="J46" i="17"/>
  <c r="I46" i="17"/>
  <c r="G46" i="17"/>
  <c r="E46" i="17"/>
  <c r="D46" i="17"/>
  <c r="C46" i="17"/>
  <c r="M46" i="17" s="1"/>
  <c r="B46" i="17"/>
  <c r="L46" i="17" s="1"/>
  <c r="J45" i="17"/>
  <c r="I45" i="17"/>
  <c r="G45" i="17"/>
  <c r="E45" i="17"/>
  <c r="D45" i="17"/>
  <c r="C45" i="17"/>
  <c r="M45" i="17" s="1"/>
  <c r="B45" i="17"/>
  <c r="J44" i="17"/>
  <c r="I44" i="17"/>
  <c r="G44" i="17"/>
  <c r="E44" i="17"/>
  <c r="D44" i="17"/>
  <c r="C44" i="17"/>
  <c r="M44" i="17" s="1"/>
  <c r="B44" i="17"/>
  <c r="H43" i="17"/>
  <c r="J42" i="17"/>
  <c r="I42" i="17"/>
  <c r="G42" i="17"/>
  <c r="E42" i="17"/>
  <c r="O42" i="17" s="1"/>
  <c r="D42" i="17"/>
  <c r="C42" i="17"/>
  <c r="M42" i="17" s="1"/>
  <c r="B42" i="17"/>
  <c r="J41" i="17"/>
  <c r="I41" i="17"/>
  <c r="G41" i="17"/>
  <c r="E41" i="17"/>
  <c r="D41" i="17"/>
  <c r="C41" i="17"/>
  <c r="M41" i="17" s="1"/>
  <c r="B41" i="17"/>
  <c r="J40" i="17"/>
  <c r="I40" i="17"/>
  <c r="G40" i="17"/>
  <c r="E40" i="17"/>
  <c r="D40" i="17"/>
  <c r="C40" i="17"/>
  <c r="M40" i="17" s="1"/>
  <c r="B40" i="17"/>
  <c r="J39" i="17"/>
  <c r="I39" i="17"/>
  <c r="G39" i="17"/>
  <c r="E39" i="17"/>
  <c r="D39" i="17"/>
  <c r="C39" i="17"/>
  <c r="M39" i="17" s="1"/>
  <c r="B39" i="17"/>
  <c r="J38" i="17"/>
  <c r="I38" i="17"/>
  <c r="G38" i="17"/>
  <c r="E38" i="17"/>
  <c r="D38" i="17"/>
  <c r="C38" i="17"/>
  <c r="M38" i="17" s="1"/>
  <c r="B38" i="17"/>
  <c r="J37" i="17"/>
  <c r="I37" i="17"/>
  <c r="G37" i="17"/>
  <c r="E37" i="17"/>
  <c r="D37" i="17"/>
  <c r="C37" i="17"/>
  <c r="M37" i="17" s="1"/>
  <c r="B37" i="17"/>
  <c r="J36" i="17"/>
  <c r="I36" i="17"/>
  <c r="G36" i="17"/>
  <c r="E36" i="17"/>
  <c r="D36" i="17"/>
  <c r="C36" i="17"/>
  <c r="M36" i="17" s="1"/>
  <c r="B36" i="17"/>
  <c r="H35" i="17"/>
  <c r="J34" i="17"/>
  <c r="I34" i="17"/>
  <c r="G34" i="17"/>
  <c r="E34" i="17"/>
  <c r="D34" i="17"/>
  <c r="C34" i="17"/>
  <c r="M34" i="17" s="1"/>
  <c r="B34" i="17"/>
  <c r="J33" i="17"/>
  <c r="I33" i="17"/>
  <c r="G33" i="17"/>
  <c r="E33" i="17"/>
  <c r="D33" i="17"/>
  <c r="C33" i="17"/>
  <c r="M33" i="17" s="1"/>
  <c r="B33" i="17"/>
  <c r="J32" i="17"/>
  <c r="I32" i="17"/>
  <c r="G32" i="17"/>
  <c r="E32" i="17"/>
  <c r="D32" i="17"/>
  <c r="C32" i="17"/>
  <c r="M32" i="17" s="1"/>
  <c r="B32" i="17"/>
  <c r="J31" i="17"/>
  <c r="I31" i="17"/>
  <c r="G31" i="17"/>
  <c r="E31" i="17"/>
  <c r="D31" i="17"/>
  <c r="C31" i="17"/>
  <c r="M31" i="17" s="1"/>
  <c r="B31" i="17"/>
  <c r="J30" i="17"/>
  <c r="I30" i="17"/>
  <c r="G30" i="17"/>
  <c r="E30" i="17"/>
  <c r="D30" i="17"/>
  <c r="C30" i="17"/>
  <c r="M30" i="17" s="1"/>
  <c r="B30" i="17"/>
  <c r="J29" i="17"/>
  <c r="I29" i="17"/>
  <c r="G29" i="17"/>
  <c r="E29" i="17"/>
  <c r="D29" i="17"/>
  <c r="C29" i="17"/>
  <c r="M29" i="17" s="1"/>
  <c r="B29" i="17"/>
  <c r="J28" i="17"/>
  <c r="I28" i="17"/>
  <c r="G28" i="17"/>
  <c r="E28" i="17"/>
  <c r="D28" i="17"/>
  <c r="C28" i="17"/>
  <c r="M28" i="17" s="1"/>
  <c r="B28" i="17"/>
  <c r="J27" i="17"/>
  <c r="I27" i="17"/>
  <c r="G27" i="17"/>
  <c r="E27" i="17"/>
  <c r="D27" i="17"/>
  <c r="C27" i="17"/>
  <c r="M27" i="17" s="1"/>
  <c r="B27" i="17"/>
  <c r="J26" i="17"/>
  <c r="I26" i="17"/>
  <c r="G26" i="17"/>
  <c r="E26" i="17"/>
  <c r="D26" i="17"/>
  <c r="C26" i="17"/>
  <c r="M26" i="17" s="1"/>
  <c r="B26" i="17"/>
  <c r="J24" i="17"/>
  <c r="I24" i="17"/>
  <c r="G24" i="17"/>
  <c r="E24" i="17"/>
  <c r="D24" i="17"/>
  <c r="C24" i="17"/>
  <c r="M24" i="17" s="1"/>
  <c r="B24" i="17"/>
  <c r="J23" i="17"/>
  <c r="I23" i="17"/>
  <c r="G23" i="17"/>
  <c r="E23" i="17"/>
  <c r="D23" i="17"/>
  <c r="C23" i="17"/>
  <c r="M23" i="17" s="1"/>
  <c r="B23" i="17"/>
  <c r="J22" i="17"/>
  <c r="I22" i="17"/>
  <c r="G22" i="17"/>
  <c r="E22" i="17"/>
  <c r="D22" i="17"/>
  <c r="C22" i="17"/>
  <c r="M22" i="17" s="1"/>
  <c r="B22" i="17"/>
  <c r="J21" i="17"/>
  <c r="I21" i="17"/>
  <c r="G21" i="17"/>
  <c r="E21" i="17"/>
  <c r="D21" i="17"/>
  <c r="C21" i="17"/>
  <c r="M21" i="17" s="1"/>
  <c r="B21" i="17"/>
  <c r="J20" i="17"/>
  <c r="I20" i="17"/>
  <c r="G20" i="17"/>
  <c r="E20" i="17"/>
  <c r="D20" i="17"/>
  <c r="C20" i="17"/>
  <c r="M20" i="17" s="1"/>
  <c r="B20" i="17"/>
  <c r="J19" i="17"/>
  <c r="I19" i="17"/>
  <c r="G19" i="17"/>
  <c r="E19" i="17"/>
  <c r="D19" i="17"/>
  <c r="C19" i="17"/>
  <c r="M19" i="17" s="1"/>
  <c r="B19" i="17"/>
  <c r="J18" i="17"/>
  <c r="I18" i="17"/>
  <c r="G18" i="17"/>
  <c r="E18" i="17"/>
  <c r="D18" i="17"/>
  <c r="C18" i="17"/>
  <c r="M18" i="17" s="1"/>
  <c r="B18" i="17"/>
  <c r="J17" i="17"/>
  <c r="I17" i="17"/>
  <c r="G17" i="17"/>
  <c r="E17" i="17"/>
  <c r="D17" i="17"/>
  <c r="C17" i="17"/>
  <c r="M17" i="17" s="1"/>
  <c r="B17" i="17"/>
  <c r="J16" i="17"/>
  <c r="I16" i="17"/>
  <c r="G16" i="17"/>
  <c r="E16" i="17"/>
  <c r="D16" i="17"/>
  <c r="C16" i="17"/>
  <c r="M16" i="17" s="1"/>
  <c r="B16" i="17"/>
  <c r="J14" i="17"/>
  <c r="I14" i="17"/>
  <c r="H14" i="17"/>
  <c r="G14" i="17"/>
  <c r="E14" i="17"/>
  <c r="D14" i="17"/>
  <c r="C14" i="17"/>
  <c r="B14" i="17"/>
  <c r="J13" i="17"/>
  <c r="I13" i="17"/>
  <c r="H13" i="17"/>
  <c r="G13" i="17"/>
  <c r="E13" i="17"/>
  <c r="D13" i="17"/>
  <c r="C13" i="17"/>
  <c r="B13" i="17"/>
  <c r="L13" i="17" s="1"/>
  <c r="J12" i="17"/>
  <c r="I12" i="17"/>
  <c r="H12" i="17"/>
  <c r="G12" i="17"/>
  <c r="E12" i="17"/>
  <c r="D12" i="17"/>
  <c r="C12" i="17"/>
  <c r="B12" i="17"/>
  <c r="J11" i="17"/>
  <c r="I11" i="17"/>
  <c r="H11" i="17"/>
  <c r="G11" i="17"/>
  <c r="E11" i="17"/>
  <c r="D11" i="17"/>
  <c r="C11" i="17"/>
  <c r="B11" i="17"/>
  <c r="J10" i="17"/>
  <c r="I10" i="17"/>
  <c r="H10" i="17"/>
  <c r="G10" i="17"/>
  <c r="L10" i="17" s="1"/>
  <c r="E10" i="17"/>
  <c r="D10" i="17"/>
  <c r="C10" i="17"/>
  <c r="L84" i="17" l="1"/>
  <c r="N84" i="17"/>
  <c r="O83" i="17"/>
  <c r="O84" i="17"/>
  <c r="E35" i="17"/>
  <c r="D35" i="17"/>
  <c r="E69" i="17"/>
  <c r="E61" i="17"/>
  <c r="D61" i="17"/>
  <c r="E51" i="17"/>
  <c r="E43" i="17"/>
  <c r="D66" i="17"/>
  <c r="D51" i="17"/>
  <c r="D43" i="17"/>
  <c r="C66" i="17"/>
  <c r="M66" i="17" s="1"/>
  <c r="B66" i="17"/>
  <c r="L66" i="17" s="1"/>
  <c r="B61" i="17"/>
  <c r="B51" i="17"/>
  <c r="B43" i="17"/>
  <c r="B35" i="17"/>
  <c r="L57" i="17"/>
  <c r="G66" i="17"/>
  <c r="L75" i="17"/>
  <c r="L81" i="17"/>
  <c r="L12" i="17"/>
  <c r="L50" i="17"/>
  <c r="L52" i="17"/>
  <c r="L67" i="17"/>
  <c r="L76" i="17"/>
  <c r="N77" i="17"/>
  <c r="N80" i="17"/>
  <c r="L82" i="17"/>
  <c r="C61" i="17"/>
  <c r="M61" i="17" s="1"/>
  <c r="L53" i="17"/>
  <c r="J66" i="17"/>
  <c r="O66" i="17" s="1"/>
  <c r="N75" i="17"/>
  <c r="C83" i="17"/>
  <c r="M83" i="17" s="1"/>
  <c r="C35" i="17"/>
  <c r="M35" i="17" s="1"/>
  <c r="C43" i="17"/>
  <c r="C51" i="17"/>
  <c r="M51" i="17" s="1"/>
  <c r="N67" i="17"/>
  <c r="L78" i="17"/>
  <c r="D83" i="17"/>
  <c r="N83" i="17" s="1"/>
  <c r="L11" i="17"/>
  <c r="L24" i="17"/>
  <c r="L19" i="17"/>
  <c r="O14" i="17"/>
  <c r="N14" i="17"/>
  <c r="M14" i="17"/>
  <c r="O13" i="17"/>
  <c r="M13" i="17"/>
  <c r="O12" i="17"/>
  <c r="N12" i="17"/>
  <c r="M12" i="17"/>
  <c r="L14" i="17"/>
  <c r="N21" i="17"/>
  <c r="N36" i="17"/>
  <c r="N37" i="17"/>
  <c r="L37" i="17"/>
  <c r="N38" i="17"/>
  <c r="L38" i="17"/>
  <c r="N39" i="17"/>
  <c r="N40" i="17"/>
  <c r="N41" i="17"/>
  <c r="L41" i="17"/>
  <c r="I35" i="17"/>
  <c r="N35" i="17" s="1"/>
  <c r="N42" i="17"/>
  <c r="L42" i="17"/>
  <c r="N44" i="17"/>
  <c r="N45" i="17"/>
  <c r="L45" i="17"/>
  <c r="N46" i="17"/>
  <c r="N47" i="17"/>
  <c r="I43" i="17"/>
  <c r="N43" i="17" s="1"/>
  <c r="L47" i="17"/>
  <c r="N48" i="17"/>
  <c r="L48" i="17"/>
  <c r="N49" i="17"/>
  <c r="L49" i="17"/>
  <c r="N50" i="17"/>
  <c r="M43" i="17"/>
  <c r="N59" i="17"/>
  <c r="L59" i="17"/>
  <c r="N60" i="17"/>
  <c r="N62" i="17"/>
  <c r="I61" i="17"/>
  <c r="N64" i="17"/>
  <c r="L64" i="17"/>
  <c r="L65" i="17"/>
  <c r="G61" i="17"/>
  <c r="N66" i="17"/>
  <c r="N68" i="17"/>
  <c r="O71" i="17"/>
  <c r="N71" i="17"/>
  <c r="L71" i="17"/>
  <c r="I69" i="17"/>
  <c r="N69" i="17" s="1"/>
  <c r="N70" i="17"/>
  <c r="O64" i="17"/>
  <c r="O65" i="17"/>
  <c r="J61" i="17"/>
  <c r="O61" i="17" s="1"/>
  <c r="O63" i="17"/>
  <c r="O62" i="17"/>
  <c r="O68" i="17"/>
  <c r="L68" i="17"/>
  <c r="L63" i="17"/>
  <c r="J69" i="17"/>
  <c r="O69" i="17" s="1"/>
  <c r="O70" i="17"/>
  <c r="G69" i="17"/>
  <c r="O60" i="17"/>
  <c r="L60" i="17"/>
  <c r="O59" i="17"/>
  <c r="L58" i="17"/>
  <c r="O57" i="17"/>
  <c r="O47" i="17"/>
  <c r="G43" i="17"/>
  <c r="L44" i="17"/>
  <c r="L40" i="17"/>
  <c r="L39" i="17"/>
  <c r="G35" i="17"/>
  <c r="O50" i="17"/>
  <c r="O49" i="17"/>
  <c r="O48" i="17"/>
  <c r="O46" i="17"/>
  <c r="J43" i="17"/>
  <c r="O45" i="17"/>
  <c r="O44" i="17"/>
  <c r="O38" i="17"/>
  <c r="O41" i="17"/>
  <c r="O40" i="17"/>
  <c r="O39" i="17"/>
  <c r="J35" i="17"/>
  <c r="O37" i="17"/>
  <c r="O53" i="17"/>
  <c r="O33" i="17"/>
  <c r="O21" i="17"/>
  <c r="O24" i="17"/>
  <c r="N24" i="17"/>
  <c r="N23" i="17"/>
  <c r="N18" i="17"/>
  <c r="C73" i="18"/>
  <c r="L72" i="17"/>
  <c r="L55" i="17"/>
  <c r="G51" i="17"/>
  <c r="L36" i="17"/>
  <c r="L33" i="17"/>
  <c r="L23" i="17"/>
  <c r="L21" i="17"/>
  <c r="L17" i="17"/>
  <c r="L32" i="17"/>
  <c r="L28" i="17"/>
  <c r="L18" i="17"/>
  <c r="L56" i="17"/>
  <c r="L54" i="17"/>
  <c r="L34" i="17"/>
  <c r="L31" i="17"/>
  <c r="L30" i="17"/>
  <c r="L29" i="17"/>
  <c r="L27" i="17"/>
  <c r="L26" i="17"/>
  <c r="L22" i="17"/>
  <c r="G15" i="17"/>
  <c r="L20" i="17"/>
  <c r="L16" i="17"/>
  <c r="N55" i="17"/>
  <c r="N54" i="17"/>
  <c r="O55" i="17"/>
  <c r="N58" i="17"/>
  <c r="O58" i="17"/>
  <c r="N33" i="17"/>
  <c r="O52" i="17"/>
  <c r="J9" i="17"/>
  <c r="O11" i="17"/>
  <c r="O54" i="17"/>
  <c r="J51" i="17"/>
  <c r="O51" i="17" s="1"/>
  <c r="K73" i="18"/>
  <c r="O56" i="17"/>
  <c r="O36" i="17"/>
  <c r="O32" i="17"/>
  <c r="O20" i="17"/>
  <c r="N13" i="17"/>
  <c r="N56" i="17"/>
  <c r="I51" i="17"/>
  <c r="N52" i="17"/>
  <c r="N19" i="17"/>
  <c r="N72" i="17"/>
  <c r="N57" i="17"/>
  <c r="N53" i="17"/>
  <c r="N34" i="17"/>
  <c r="N32" i="17"/>
  <c r="N31" i="17"/>
  <c r="N30" i="17"/>
  <c r="N29" i="17"/>
  <c r="N28" i="17"/>
  <c r="N27" i="17"/>
  <c r="N26" i="17"/>
  <c r="N22" i="17"/>
  <c r="N20" i="17"/>
  <c r="I15" i="17"/>
  <c r="N17" i="17"/>
  <c r="N16" i="17"/>
  <c r="I9" i="17"/>
  <c r="N11" i="17"/>
  <c r="N10" i="17"/>
  <c r="G73" i="18"/>
  <c r="M11" i="17"/>
  <c r="M10" i="17"/>
  <c r="B69" i="17"/>
  <c r="B9" i="19"/>
  <c r="C69" i="17"/>
  <c r="M69" i="17" s="1"/>
  <c r="O23" i="17"/>
  <c r="B15" i="17"/>
  <c r="N74" i="17"/>
  <c r="O75" i="17"/>
  <c r="N81" i="17"/>
  <c r="F73" i="19"/>
  <c r="J73" i="19"/>
  <c r="N73" i="19"/>
  <c r="N65" i="17"/>
  <c r="G25" i="17"/>
  <c r="N78" i="17"/>
  <c r="N79" i="17"/>
  <c r="O79" i="17"/>
  <c r="O81" i="17"/>
  <c r="B61" i="19"/>
  <c r="I25" i="17"/>
  <c r="B66" i="18"/>
  <c r="O72" i="17"/>
  <c r="B69" i="19"/>
  <c r="B51" i="19"/>
  <c r="O34" i="17"/>
  <c r="O31" i="17"/>
  <c r="O30" i="17"/>
  <c r="O29" i="17"/>
  <c r="O28" i="17"/>
  <c r="J25" i="17"/>
  <c r="O27" i="17"/>
  <c r="B25" i="19"/>
  <c r="O26" i="17"/>
  <c r="O22" i="17"/>
  <c r="O19" i="17"/>
  <c r="O18" i="17"/>
  <c r="O17" i="17"/>
  <c r="J15" i="17"/>
  <c r="O16" i="17"/>
  <c r="O10" i="17"/>
  <c r="D25" i="17"/>
  <c r="D15" i="17"/>
  <c r="E25" i="17"/>
  <c r="D73" i="18"/>
  <c r="H73" i="18"/>
  <c r="L73" i="18"/>
  <c r="B15" i="18"/>
  <c r="B51" i="18"/>
  <c r="B69" i="18"/>
  <c r="C73" i="19"/>
  <c r="G73" i="19"/>
  <c r="K73" i="19"/>
  <c r="B43" i="19"/>
  <c r="B66" i="19"/>
  <c r="B83" i="17"/>
  <c r="L83" i="17" s="1"/>
  <c r="D9" i="17"/>
  <c r="E15" i="17"/>
  <c r="H25" i="17"/>
  <c r="N82" i="17"/>
  <c r="E73" i="18"/>
  <c r="I73" i="18"/>
  <c r="M73" i="18"/>
  <c r="B25" i="18"/>
  <c r="B43" i="18"/>
  <c r="B61" i="18"/>
  <c r="D73" i="19"/>
  <c r="H73" i="19"/>
  <c r="L73" i="19"/>
  <c r="B35" i="19"/>
  <c r="G9" i="17"/>
  <c r="E9" i="17"/>
  <c r="C9" i="17"/>
  <c r="H9" i="17"/>
  <c r="C15" i="17"/>
  <c r="H15" i="17"/>
  <c r="B25" i="17"/>
  <c r="O74" i="17"/>
  <c r="O76" i="17"/>
  <c r="O78" i="17"/>
  <c r="O80" i="17"/>
  <c r="O82" i="17"/>
  <c r="F73" i="18"/>
  <c r="J73" i="18"/>
  <c r="N73" i="18"/>
  <c r="B35" i="18"/>
  <c r="E73" i="19"/>
  <c r="I73" i="19"/>
  <c r="M73" i="19"/>
  <c r="B15" i="19"/>
  <c r="B9" i="17"/>
  <c r="C25" i="17"/>
  <c r="B9" i="18"/>
  <c r="B73" i="18" l="1"/>
  <c r="O35" i="17"/>
  <c r="O9" i="17"/>
  <c r="N9" i="17"/>
  <c r="N51" i="17"/>
  <c r="O43" i="17"/>
  <c r="N61" i="17"/>
  <c r="L35" i="17"/>
  <c r="L61" i="17"/>
  <c r="L51" i="17"/>
  <c r="L43" i="17"/>
  <c r="M9" i="17"/>
  <c r="L15" i="17"/>
  <c r="L69" i="17"/>
  <c r="E73" i="17"/>
  <c r="G73" i="17"/>
  <c r="L25" i="17"/>
  <c r="D73" i="17"/>
  <c r="I73" i="17"/>
  <c r="N15" i="17"/>
  <c r="M15" i="17"/>
  <c r="J73" i="17"/>
  <c r="N25" i="17"/>
  <c r="O25" i="17"/>
  <c r="B73" i="19"/>
  <c r="O15" i="17"/>
  <c r="H73" i="17"/>
  <c r="M25" i="17"/>
  <c r="C73" i="17"/>
  <c r="B73" i="17"/>
  <c r="L9" i="17"/>
  <c r="L73" i="17" l="1"/>
  <c r="N73" i="17"/>
  <c r="O73" i="17"/>
  <c r="M73" i="17"/>
  <c r="B17" i="16"/>
  <c r="B15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</authors>
  <commentList>
    <comment ref="G7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I7" authorId="0" shapeId="0" xr:uid="{00000000-0006-0000-07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  <comment ref="J9" authorId="0" shapeId="0" xr:uid="{00000000-0006-0000-0700-000003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CUANDO FINALIXA EL CONTRATO</t>
        </r>
      </text>
    </comment>
  </commentList>
</comments>
</file>

<file path=xl/sharedStrings.xml><?xml version="1.0" encoding="utf-8"?>
<sst xmlns="http://schemas.openxmlformats.org/spreadsheetml/2006/main" count="2012" uniqueCount="1005">
  <si>
    <t>SERVICIO REGIONAL DE SALUD</t>
  </si>
  <si>
    <t>DIRECCIÓN DE FISCALIZACIÓN Y CONTROL</t>
  </si>
  <si>
    <t>A</t>
  </si>
  <si>
    <t>B</t>
  </si>
  <si>
    <t>C</t>
  </si>
  <si>
    <t>D</t>
  </si>
  <si>
    <t>E</t>
  </si>
  <si>
    <t>F</t>
  </si>
  <si>
    <t>PERÍODO</t>
  </si>
  <si>
    <t>MONTO</t>
  </si>
  <si>
    <t>PRÉSTAMOS Y/O ANTICIPOS FINANCIEROS OTORGADOS POR SENASA</t>
  </si>
  <si>
    <t>TOTAL</t>
  </si>
  <si>
    <r>
      <rPr>
        <b/>
        <sz val="12"/>
        <color theme="1"/>
        <rFont val="Calibri"/>
        <family val="2"/>
        <scheme val="minor"/>
      </rPr>
      <t>Nota</t>
    </r>
    <r>
      <rPr>
        <sz val="12"/>
        <color theme="1"/>
        <rFont val="Calibri"/>
        <family val="2"/>
        <scheme val="minor"/>
      </rPr>
      <t>. En el caso de las columnas D, E y F, solo aplican para llenado de los préstamos otogados por SENASA.</t>
    </r>
  </si>
  <si>
    <t xml:space="preserve">SEGURIDAD SOCIAL </t>
  </si>
  <si>
    <t>PRESTACIONES LABORALES</t>
  </si>
  <si>
    <t>VIATICOS</t>
  </si>
  <si>
    <t>TIPO</t>
  </si>
  <si>
    <t>STATUS PRESTAMO</t>
  </si>
  <si>
    <t>MONTO ORIGEN</t>
  </si>
  <si>
    <t>MONTO AMORTIZADO</t>
  </si>
  <si>
    <t>BALANCE PENDIENTE</t>
  </si>
  <si>
    <t>DESDE</t>
  </si>
  <si>
    <t>HASTA</t>
  </si>
  <si>
    <t xml:space="preserve">Servicio Nacional de Salud </t>
  </si>
  <si>
    <t xml:space="preserve">Dirección de Fiscalización y Control </t>
  </si>
  <si>
    <t>ARS</t>
  </si>
  <si>
    <t>SALUD SEGURA</t>
  </si>
  <si>
    <t>APS</t>
  </si>
  <si>
    <t>SIMAG</t>
  </si>
  <si>
    <t>GMA</t>
  </si>
  <si>
    <t>YUNEN</t>
  </si>
  <si>
    <t>MONUMENTAL</t>
  </si>
  <si>
    <t xml:space="preserve">Sub-Total </t>
  </si>
  <si>
    <t xml:space="preserve">Total General </t>
  </si>
  <si>
    <t>Anticipo Financiero</t>
  </si>
  <si>
    <t>FONDO REPONIBLE</t>
  </si>
  <si>
    <t>Odontologia (facturacion servicios no contemplado en Plan Basico)</t>
  </si>
  <si>
    <t xml:space="preserve">SERVICIO NACIONAL DE SALUD </t>
  </si>
  <si>
    <t>NO</t>
  </si>
  <si>
    <t xml:space="preserve">DIRECCION DE FISCALIZACION Y CONTROL </t>
  </si>
  <si>
    <t xml:space="preserve">NOMBRES PROVEEDOR  </t>
  </si>
  <si>
    <t>FUENTE DE FINANCIAMIENTO</t>
  </si>
  <si>
    <t>TOTAL ADEUDA</t>
  </si>
  <si>
    <t>No.</t>
  </si>
  <si>
    <t xml:space="preserve">Total </t>
  </si>
  <si>
    <t>Establecimientos</t>
  </si>
  <si>
    <t>Mes</t>
  </si>
  <si>
    <t>Facturado</t>
  </si>
  <si>
    <t xml:space="preserve">Recibido </t>
  </si>
  <si>
    <t>Glosado</t>
  </si>
  <si>
    <t>%</t>
  </si>
  <si>
    <t>Total</t>
  </si>
  <si>
    <t xml:space="preserve">Nota </t>
  </si>
  <si>
    <t>Glosa de todas las ARS que recibieron ingreso.</t>
  </si>
  <si>
    <t>Retenido/Facturado por Promese Cal</t>
  </si>
  <si>
    <t xml:space="preserve"> Establecimientos</t>
  </si>
  <si>
    <t>Monto Retenido Promese</t>
  </si>
  <si>
    <t>Monto Despachado Promese</t>
  </si>
  <si>
    <t>Diferencia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</si>
  <si>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</si>
  <si>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</si>
  <si>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</si>
  <si>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</si>
  <si>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</si>
  <si>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</si>
  <si>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</si>
  <si>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</si>
  <si>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</si>
  <si>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</si>
  <si>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</si>
  <si>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SENASA SUBSIDIADO</t>
  </si>
  <si>
    <t>SENASA CONTRIBUTIVO</t>
  </si>
  <si>
    <t xml:space="preserve">TOTAL </t>
  </si>
  <si>
    <t xml:space="preserve"> </t>
  </si>
  <si>
    <t>INGRESOS FACTURACION VENTA DE SERVICIOS ARS</t>
  </si>
  <si>
    <t>ESTABLECIMIENTO</t>
  </si>
  <si>
    <t>CANTIDAD DE ARS Contratadas</t>
  </si>
  <si>
    <t>CANTIDAD DE ARS</t>
  </si>
  <si>
    <t>TOTAL INGRESOS</t>
  </si>
  <si>
    <t>REGIMEN SUBSIDIADO</t>
  </si>
  <si>
    <t>REGIMEN CONTRIBUTIVO</t>
  </si>
  <si>
    <t>CONTRIBUTIVO SENASA</t>
  </si>
  <si>
    <t xml:space="preserve">CONTRIBUTIVO OTRAS ARS </t>
  </si>
  <si>
    <t>SERVICIO NACIONAL DE SALUD</t>
  </si>
  <si>
    <t xml:space="preserve">RELACION CAPTACION DE INGRESOS </t>
  </si>
  <si>
    <t>ANTICIPO FINANCIERO SNS</t>
  </si>
  <si>
    <t xml:space="preserve">OTROS APORTES  </t>
  </si>
  <si>
    <t>ODONTOLOGIA POR SENASA</t>
  </si>
  <si>
    <t xml:space="preserve">FONDO REPONIBLE </t>
  </si>
  <si>
    <t>ODONTOLOGIA  PROPIO</t>
  </si>
  <si>
    <t>VENTA DE SERVICIOS</t>
  </si>
  <si>
    <t>ENERO</t>
  </si>
  <si>
    <t xml:space="preserve">ABRIL </t>
  </si>
  <si>
    <t xml:space="preserve">MAYO </t>
  </si>
  <si>
    <t>"Año de la Consolidacion de la Seguridad Alimentaria"</t>
  </si>
  <si>
    <t xml:space="preserve">Direccion de Fiscalizacion y Control </t>
  </si>
  <si>
    <t>Estado  Financiero</t>
  </si>
  <si>
    <t xml:space="preserve">Trimestre </t>
  </si>
  <si>
    <t xml:space="preserve">                                       (Valores en RD$)</t>
  </si>
  <si>
    <r>
      <t xml:space="preserve">Establecimiento: __HOSPITAL MUNICIPAL     </t>
    </r>
    <r>
      <rPr>
        <b/>
        <sz val="14"/>
        <color theme="1"/>
        <rFont val="Times New Roman"/>
        <family val="1"/>
      </rPr>
      <t xml:space="preserve"> </t>
    </r>
    <r>
      <rPr>
        <sz val="14"/>
        <color theme="1"/>
        <rFont val="Times New Roman"/>
        <family val="1"/>
      </rPr>
      <t>Región</t>
    </r>
    <r>
      <rPr>
        <b/>
        <sz val="14"/>
        <color theme="1"/>
        <rFont val="Times New Roman"/>
        <family val="1"/>
      </rPr>
      <t>: _VII</t>
    </r>
  </si>
  <si>
    <t>INGRESOS:</t>
  </si>
  <si>
    <t>Montos</t>
  </si>
  <si>
    <t xml:space="preserve">Anticipo Financiero/ Fondo Reponible    </t>
  </si>
  <si>
    <t>RD$  0</t>
  </si>
  <si>
    <t>Venta de Servicios</t>
  </si>
  <si>
    <t>Aporte Nominas SNS</t>
  </si>
  <si>
    <t>Menos:</t>
  </si>
  <si>
    <t>RD$  2965021.57</t>
  </si>
  <si>
    <t xml:space="preserve">EGRESOS/GASTOS </t>
  </si>
  <si>
    <t xml:space="preserve">Superávit o Déficit </t>
  </si>
  <si>
    <t xml:space="preserve">PRODUCCION DE </t>
  </si>
  <si>
    <t>Consultas</t>
  </si>
  <si>
    <t>Emergencias</t>
  </si>
  <si>
    <t>Egresos</t>
  </si>
  <si>
    <t>Cirugia</t>
  </si>
  <si>
    <t>Partos</t>
  </si>
  <si>
    <t>Cesareas</t>
  </si>
  <si>
    <t xml:space="preserve"> Prueba De Laboratorio</t>
  </si>
  <si>
    <t>Servicio De Imágenes</t>
  </si>
  <si>
    <t>Atenciones Odontologicos</t>
  </si>
  <si>
    <t>Tranfusiones</t>
  </si>
  <si>
    <t>Atenciones A Extranjeros</t>
  </si>
  <si>
    <t xml:space="preserve">Camas </t>
  </si>
  <si>
    <t xml:space="preserve">Promedio dia Pacientes </t>
  </si>
  <si>
    <t xml:space="preserve"> _______________________</t>
  </si>
  <si>
    <t>FONDO MENSUAL</t>
  </si>
  <si>
    <t xml:space="preserve"> Con PROMESE</t>
  </si>
  <si>
    <t>RD$ _480000</t>
  </si>
  <si>
    <t>Sin PROMESE</t>
  </si>
  <si>
    <t>RD$ 307000</t>
  </si>
  <si>
    <t>PROMESE</t>
  </si>
  <si>
    <t xml:space="preserve">DEUDA POR AÑO </t>
  </si>
  <si>
    <t>2018 Agosto</t>
  </si>
  <si>
    <t>NOMINA</t>
  </si>
  <si>
    <t>Empleados</t>
  </si>
  <si>
    <t>RD$ _______________________87</t>
  </si>
  <si>
    <t>Promedio Mensual</t>
  </si>
  <si>
    <t xml:space="preserve">NOMINA INTERNA </t>
  </si>
  <si>
    <t>En RD$</t>
  </si>
  <si>
    <t>Detalle</t>
  </si>
  <si>
    <t>VENTA SEVICIOS/OTROS APORTES</t>
  </si>
  <si>
    <t>2 - GASTOS</t>
  </si>
  <si>
    <t>1ro</t>
  </si>
  <si>
    <t>2do</t>
  </si>
  <si>
    <t>3ro</t>
  </si>
  <si>
    <t>4to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</si>
  <si>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</si>
  <si>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</si>
  <si>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</si>
  <si>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</si>
  <si>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</si>
  <si>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</si>
  <si>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</si>
  <si>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</si>
  <si>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</si>
  <si>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</si>
  <si>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</si>
  <si>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</si>
  <si>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</si>
  <si>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</si>
  <si>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</si>
  <si>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</si>
  <si>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</si>
  <si>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</si>
  <si>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</si>
  <si>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</si>
  <si>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</si>
  <si>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</si>
  <si>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</si>
  <si>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</si>
  <si>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</si>
  <si>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</si>
  <si>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</si>
  <si>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</si>
  <si>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</si>
  <si>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</si>
  <si>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</si>
  <si>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</si>
  <si>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</si>
  <si>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</si>
  <si>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</si>
  <si>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</si>
  <si>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</si>
  <si>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</si>
  <si>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</si>
  <si>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</si>
  <si>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</si>
  <si>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</si>
  <si>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</si>
  <si>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</si>
  <si>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</si>
  <si>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</si>
  <si>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</si>
  <si>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</si>
  <si>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</si>
  <si>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</si>
  <si>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</si>
  <si>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</si>
  <si>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</si>
  <si>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</si>
  <si>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</si>
  <si>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</si>
  <si>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</si>
  <si>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</si>
  <si>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</si>
  <si>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</si>
  <si>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</si>
  <si>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</si>
  <si>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</si>
  <si>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</si>
  <si>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</si>
  <si>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</si>
  <si>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</si>
  <si>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</si>
  <si>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</si>
  <si>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</si>
  <si>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</si>
  <si>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</si>
  <si>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</si>
  <si>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</si>
  <si>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</si>
  <si>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</si>
  <si>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</si>
  <si>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</si>
  <si>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</si>
  <si>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</si>
  <si>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</si>
  <si>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</si>
  <si>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</si>
  <si>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</si>
  <si>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</si>
  <si>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</si>
  <si>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</si>
  <si>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</si>
  <si>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Fuente: [fuente]</t>
  </si>
  <si>
    <t>Fecha de registro: hasta el [día] de [mes] del [año]</t>
  </si>
  <si>
    <t>Fecha de imputación: hasta el [día] de [mes] del [año]</t>
  </si>
  <si>
    <t>PROMESE CAL</t>
  </si>
  <si>
    <t xml:space="preserve">CONCEPTO DE COMPRA ( BREVE DESCRIPCION ) </t>
  </si>
  <si>
    <t xml:space="preserve">Servicio Nacional De Salud </t>
  </si>
  <si>
    <t xml:space="preserve">Dirección de Fiscalizacion y Control </t>
  </si>
  <si>
    <t xml:space="preserve">ENERO </t>
  </si>
  <si>
    <t xml:space="preserve">Facturado </t>
  </si>
  <si>
    <t>Total SeNaSa</t>
  </si>
  <si>
    <t xml:space="preserve">ARL </t>
  </si>
  <si>
    <t>RENACER</t>
  </si>
  <si>
    <t xml:space="preserve">ARS PLANSALUD BANCO CENTRAL </t>
  </si>
  <si>
    <t xml:space="preserve">SEMMA </t>
  </si>
  <si>
    <t>CONSTITUCION</t>
  </si>
  <si>
    <t>META SALUD</t>
  </si>
  <si>
    <t>ASEMAP</t>
  </si>
  <si>
    <t>CMD</t>
  </si>
  <si>
    <t>SEMUNASED</t>
  </si>
  <si>
    <t>Es obligatorio colocar el nombre del establecimiento y la region, para poder identificar</t>
  </si>
  <si>
    <t>RETENCIONES DE IMPUESTOS (DGII)</t>
  </si>
  <si>
    <t>APROVISIONAMIENTOS DE INCENTIVOS</t>
  </si>
  <si>
    <t>APROVISIONAMIENTO DE REGALIA PASCUAL</t>
  </si>
  <si>
    <t>MONTO AÑO 2021</t>
  </si>
  <si>
    <t>PREPARADO POR:</t>
  </si>
  <si>
    <t xml:space="preserve">REVISADO POR: </t>
  </si>
  <si>
    <t xml:space="preserve">APROBADO POR: </t>
  </si>
  <si>
    <t xml:space="preserve">Enc. Depto. De Contbailidad </t>
  </si>
  <si>
    <t>Administrador</t>
  </si>
  <si>
    <t>Republica Dominicana</t>
  </si>
  <si>
    <t>Sub-Total Compras RD$</t>
  </si>
  <si>
    <t xml:space="preserve">CUENTAS No. </t>
  </si>
  <si>
    <t>CANTIDAD</t>
  </si>
  <si>
    <t>Compra Directa</t>
  </si>
  <si>
    <t xml:space="preserve">TOTAL COMPRAS       </t>
  </si>
  <si>
    <t>CERTIFICO CORRECTO:</t>
  </si>
  <si>
    <t>ESTABLECIMIENTO: HOSPITAL REGIONAL ING. LUIS L. BOGAERT</t>
  </si>
  <si>
    <t xml:space="preserve">  Director General</t>
  </si>
  <si>
    <t>Aprobado por:  Dr. Newton Solano</t>
  </si>
  <si>
    <t>ARS PRIMERA DE HUMANO</t>
  </si>
  <si>
    <t>ESTABLECIMIENTO:  HOSPITAL REGIONAL ING. LUIS L. BOGAERT</t>
  </si>
  <si>
    <t>REACTIVO DE LABORATORIO</t>
  </si>
  <si>
    <t>ALQUILERES JEREZ</t>
  </si>
  <si>
    <t>ALQUILERES DE SILLAS</t>
  </si>
  <si>
    <t>AGUA FARES</t>
  </si>
  <si>
    <t>MEDICAMENTOS</t>
  </si>
  <si>
    <t>OXIGENOS MEDICO</t>
  </si>
  <si>
    <t>ALIMENTOS</t>
  </si>
  <si>
    <t>MATERIAL DE INFORAMATICA</t>
  </si>
  <si>
    <t>CARNICERIA DARIO</t>
  </si>
  <si>
    <t>CARNES DE CERDO Y RES</t>
  </si>
  <si>
    <t>CETIOSA,EIRL</t>
  </si>
  <si>
    <t>COMBUSTIBLES</t>
  </si>
  <si>
    <t>CENTRO MEDICO</t>
  </si>
  <si>
    <t>CENTRO PLAZA LA FERIA</t>
  </si>
  <si>
    <t>ELECTRODOMESTICO</t>
  </si>
  <si>
    <t>COMPUTINTA</t>
  </si>
  <si>
    <t>CLARO</t>
  </si>
  <si>
    <t>EVELYN FLOR</t>
  </si>
  <si>
    <t>SUM.FLORES DIA DE DUARTE</t>
  </si>
  <si>
    <t>GRAFINOR</t>
  </si>
  <si>
    <t>IMPRESOS</t>
  </si>
  <si>
    <t>HNOS.PIMENTEL</t>
  </si>
  <si>
    <t>IMPRESOS R&amp;R</t>
  </si>
  <si>
    <t>JOSE FERNANDEZ</t>
  </si>
  <si>
    <t>MANT.EQ.LABORATORIO</t>
  </si>
  <si>
    <t>LAB. BIOMEDICA</t>
  </si>
  <si>
    <t>LAB.CLINICO MARIA F.M</t>
  </si>
  <si>
    <t>COMPRA DE SANGRE</t>
  </si>
  <si>
    <t>LUIS MIGUEL ESTEVEZ</t>
  </si>
  <si>
    <t>SERVICIO DE ALIMENTACION</t>
  </si>
  <si>
    <t>MULTI SERVICIOS MAO</t>
  </si>
  <si>
    <t>ALQUILRES</t>
  </si>
  <si>
    <t>OXIGENOS EL CHINO</t>
  </si>
  <si>
    <t>Repuestos Danilo Santos</t>
  </si>
  <si>
    <t>MANT.EQ. TRANSPORTE</t>
  </si>
  <si>
    <t>REMIFAR COMERCIAL</t>
  </si>
  <si>
    <t>SERCLAMED,SRL</t>
  </si>
  <si>
    <t>SUPERMERCADO MAEÑO</t>
  </si>
  <si>
    <t>TDA. LAS MARGARITAS</t>
  </si>
  <si>
    <t>PLASTICO Y UT. DE COCINA</t>
  </si>
  <si>
    <t>TDA. CUCHA</t>
  </si>
  <si>
    <t>ARTICULOS DIVERSOS</t>
  </si>
  <si>
    <t>ULTRACOMPUTERS</t>
  </si>
  <si>
    <t>MATERIAL DE INFORMATICA</t>
  </si>
  <si>
    <t>HOSPITAL  REGIONAL ING. LUIS L. BOGAERT</t>
  </si>
  <si>
    <t xml:space="preserve">HOSPITAL REGIONAL ING. LUIS L. BOGAERT </t>
  </si>
  <si>
    <t>HOSPITAL REGIONAL ING. LUIS L. BOGAERT</t>
  </si>
  <si>
    <t>HOSPITAL REG. ING. LUIS L. BOGAERT</t>
  </si>
  <si>
    <t>MAPFRE</t>
  </si>
  <si>
    <t>HOSPITAL  REGINAL ING. LUIS L. BOGAERT</t>
  </si>
  <si>
    <t>Preparado por: Lic. Jenniffer Rodríguez</t>
  </si>
  <si>
    <t>VS</t>
  </si>
  <si>
    <t>2393-01</t>
  </si>
  <si>
    <t>2311-01</t>
  </si>
  <si>
    <t>2392-01</t>
  </si>
  <si>
    <t>Servicio de Telefono</t>
  </si>
  <si>
    <t>2341-01</t>
  </si>
  <si>
    <t>2215-01</t>
  </si>
  <si>
    <t>2371-01-02-05</t>
  </si>
  <si>
    <t>MEDI-SAN</t>
  </si>
  <si>
    <t xml:space="preserve">                                                  Jenniffer Rodríguez                                                     Lic. Jean Flores                                                         Dr. Newton Solano</t>
  </si>
  <si>
    <t>2213-01</t>
  </si>
  <si>
    <t>Suministro de Oxigeno</t>
  </si>
  <si>
    <t>IDOPRIL</t>
  </si>
  <si>
    <t xml:space="preserve">TOTAL GENERAL </t>
  </si>
  <si>
    <t>ALTICE DOMINICANA</t>
  </si>
  <si>
    <t>Servicios de Internet</t>
  </si>
  <si>
    <t xml:space="preserve">Enc. Depto. De Contabilidad </t>
  </si>
  <si>
    <t>FR</t>
  </si>
  <si>
    <t>Suministro de Combustible</t>
  </si>
  <si>
    <t>SERVICIOS MEDICOS UASD</t>
  </si>
  <si>
    <t>EDITORA PUNTO CENTRAL</t>
  </si>
  <si>
    <t>AGROFEN</t>
  </si>
  <si>
    <t>DR. Newton Solano</t>
  </si>
  <si>
    <t>Director</t>
  </si>
  <si>
    <t>Lic. Jean Flores</t>
  </si>
  <si>
    <t>Preparado Por</t>
  </si>
  <si>
    <t>Aprobado Por</t>
  </si>
  <si>
    <t>Lic. Jenniffer Rodriguez</t>
  </si>
  <si>
    <t>2</t>
  </si>
  <si>
    <t>5</t>
  </si>
  <si>
    <t>6</t>
  </si>
  <si>
    <t>7</t>
  </si>
  <si>
    <t>8</t>
  </si>
  <si>
    <t>10</t>
  </si>
  <si>
    <t>26</t>
  </si>
  <si>
    <t>28</t>
  </si>
  <si>
    <t>29</t>
  </si>
  <si>
    <t>MAO CENTRAL CONNECTIONS</t>
  </si>
  <si>
    <t>SUPER ESTACION MAO</t>
  </si>
  <si>
    <t xml:space="preserve">  </t>
  </si>
  <si>
    <t>MONTO AÑO 2023</t>
  </si>
  <si>
    <t>Reactivos de Laboratorio</t>
  </si>
  <si>
    <t>2372-03</t>
  </si>
  <si>
    <t>NIFARMED</t>
  </si>
  <si>
    <t>MONTO AL 31 JULIO 2024</t>
  </si>
  <si>
    <t>MONTO AL 30 SEPTIEMBRE 2024</t>
  </si>
  <si>
    <t>MONTO AL 31 DE OCTUBRE 2024</t>
  </si>
  <si>
    <t>MONTO AL 30 NOVIEMBRE  2024</t>
  </si>
  <si>
    <t>MONTO AL 31 DICIEMBRE  2024</t>
  </si>
  <si>
    <t>Nombre del Establecimiento Hospital Regional Ing. Luis L. Bogaert</t>
  </si>
  <si>
    <t xml:space="preserve">Nómina Interna Empleados 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</si>
  <si>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</si>
  <si>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</si>
  <si>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</si>
  <si>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</si>
  <si>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</si>
  <si>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</si>
  <si>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</si>
  <si>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 xml:space="preserve">Grupo </t>
  </si>
  <si>
    <t>Fecha de inicio del contrato</t>
  </si>
  <si>
    <t>Sueldo Bruto (RD$)</t>
  </si>
  <si>
    <t>Seguridad Social (LEY 87-01)</t>
  </si>
  <si>
    <t>Total Retenciones y Aportes</t>
  </si>
  <si>
    <t>Sueldo Neto (RD$)</t>
  </si>
  <si>
    <t>Cuenta Banco</t>
  </si>
  <si>
    <t>Ocupacional</t>
  </si>
  <si>
    <t>Seguro de Pensión (9.97%)</t>
  </si>
  <si>
    <t>Riesgos Laborales (1.3%) (2*)</t>
  </si>
  <si>
    <t>Seguro de Salud (10.53%)    (3*)</t>
  </si>
  <si>
    <t>Registro Dependientes Adicionales (4*)</t>
  </si>
  <si>
    <t>Subtotal TSS</t>
  </si>
  <si>
    <t>Deducción Empleado</t>
  </si>
  <si>
    <t>Aportes Patronal</t>
  </si>
  <si>
    <t>Desde</t>
  </si>
  <si>
    <t>Hasta</t>
  </si>
  <si>
    <t>Empleado (2.87%)</t>
  </si>
  <si>
    <t>Patronal (7.10%)</t>
  </si>
  <si>
    <t>Empleado (3.04%)</t>
  </si>
  <si>
    <t>Patronal (7.09%)</t>
  </si>
  <si>
    <t>TOTAL GENERAL</t>
  </si>
  <si>
    <t>Nota: No contamos con nomina Interna, ya que fue desmontada por el SNS.</t>
  </si>
  <si>
    <t>2292-01</t>
  </si>
  <si>
    <t xml:space="preserve">                          SERVICIO NACIONAL DE SALUD</t>
  </si>
  <si>
    <t>REGION</t>
  </si>
  <si>
    <t xml:space="preserve">                                   IV</t>
  </si>
  <si>
    <t>FECHA</t>
  </si>
  <si>
    <t>ORDEN DE</t>
  </si>
  <si>
    <t>NO. DE FACTURA</t>
  </si>
  <si>
    <t>INTERESADO</t>
  </si>
  <si>
    <t>CONCEPTO</t>
  </si>
  <si>
    <t>VALOR RD $</t>
  </si>
  <si>
    <t>COMPRA</t>
  </si>
  <si>
    <t>ALMANZAR ESTEVEZ</t>
  </si>
  <si>
    <t>SUB-TOTAL</t>
  </si>
  <si>
    <t>ALQUILER JEREZ</t>
  </si>
  <si>
    <t>462-2020</t>
  </si>
  <si>
    <t>B1500000259</t>
  </si>
  <si>
    <t>SUM.ALQUILER</t>
  </si>
  <si>
    <t>N.A</t>
  </si>
  <si>
    <t>SUM.QUIRURGICO</t>
  </si>
  <si>
    <t>SUM.ALIMENTOS</t>
  </si>
  <si>
    <t>SUM.REACTIVOS</t>
  </si>
  <si>
    <t>EN PROCESO</t>
  </si>
  <si>
    <t>455-2018</t>
  </si>
  <si>
    <t>SUM.QUIRUGICO</t>
  </si>
  <si>
    <t>457-2018</t>
  </si>
  <si>
    <t>SUM.MEDICO</t>
  </si>
  <si>
    <t>808-2018</t>
  </si>
  <si>
    <t>SUM.MEDICAMENTOS</t>
  </si>
  <si>
    <t>827-2018</t>
  </si>
  <si>
    <t>1057-2019</t>
  </si>
  <si>
    <t>B1500000058</t>
  </si>
  <si>
    <t>SUM.ELECTRODOMESTICOS</t>
  </si>
  <si>
    <t>3416-2015</t>
  </si>
  <si>
    <t>SUM.INFORMATICA</t>
  </si>
  <si>
    <t>3613-2016</t>
  </si>
  <si>
    <t>SUM. INFORMATICA</t>
  </si>
  <si>
    <t>3721-2016</t>
  </si>
  <si>
    <t>4402-2016</t>
  </si>
  <si>
    <t>4719-2017</t>
  </si>
  <si>
    <t>192-2023</t>
  </si>
  <si>
    <t>B1500000208</t>
  </si>
  <si>
    <t>SUM.IMPRESOS</t>
  </si>
  <si>
    <t>SUM.FLORES</t>
  </si>
  <si>
    <t>1690-2019</t>
  </si>
  <si>
    <t>B1500000072</t>
  </si>
  <si>
    <t>2095-2019</t>
  </si>
  <si>
    <t>C-00140</t>
  </si>
  <si>
    <t>3085-2019</t>
  </si>
  <si>
    <t>C-N0.00147</t>
  </si>
  <si>
    <t>B1500000076</t>
  </si>
  <si>
    <t>2631/32</t>
  </si>
  <si>
    <t>SUM.ALIMENTOS Y OTROS</t>
  </si>
  <si>
    <t>2633/36</t>
  </si>
  <si>
    <t>2635-2014</t>
  </si>
  <si>
    <t>2637/38</t>
  </si>
  <si>
    <t>2639/40</t>
  </si>
  <si>
    <t>2641-2014</t>
  </si>
  <si>
    <t>2642/43</t>
  </si>
  <si>
    <t>2644/45</t>
  </si>
  <si>
    <t>2646-2014</t>
  </si>
  <si>
    <t>3567-2015</t>
  </si>
  <si>
    <t>3934-2016</t>
  </si>
  <si>
    <t>4241-2016</t>
  </si>
  <si>
    <t>SUM. MANT.EQ.LAB</t>
  </si>
  <si>
    <t>3354-2015</t>
  </si>
  <si>
    <t>3467-2015</t>
  </si>
  <si>
    <t>3649-2015</t>
  </si>
  <si>
    <t>3880-2015</t>
  </si>
  <si>
    <t>4001-2016</t>
  </si>
  <si>
    <t>LAB,CLINICO M.F.M</t>
  </si>
  <si>
    <t>393-2020</t>
  </si>
  <si>
    <t>B1500000006</t>
  </si>
  <si>
    <t>LAB. MARIA F. M</t>
  </si>
  <si>
    <t>SUM. SANGRE</t>
  </si>
  <si>
    <t>N/A</t>
  </si>
  <si>
    <t>SUM.SERV.ALIMENTACION</t>
  </si>
  <si>
    <t>1102-2021</t>
  </si>
  <si>
    <t>B1500000041</t>
  </si>
  <si>
    <t>Ordenes sin N</t>
  </si>
  <si>
    <t>SUM. OXIGENO</t>
  </si>
  <si>
    <t>COMPRA MANOMETRO</t>
  </si>
  <si>
    <t>REP.DANILO SANTOS</t>
  </si>
  <si>
    <t>4124-2016</t>
  </si>
  <si>
    <t>11500002448/63/4802/2470/78/2503</t>
  </si>
  <si>
    <t>SUM.LUBRICANTE</t>
  </si>
  <si>
    <t>4720-2017</t>
  </si>
  <si>
    <t>SUM.FILTRO</t>
  </si>
  <si>
    <t>547-2018</t>
  </si>
  <si>
    <t>B11500004087</t>
  </si>
  <si>
    <t>554-2018</t>
  </si>
  <si>
    <t>B15000000001</t>
  </si>
  <si>
    <t>923-2018</t>
  </si>
  <si>
    <t>B15000000040</t>
  </si>
  <si>
    <t>SUM.QUIRURGICOO</t>
  </si>
  <si>
    <t>4236-2016</t>
  </si>
  <si>
    <t>3419-2015</t>
  </si>
  <si>
    <t>SUM.PLASTICO</t>
  </si>
  <si>
    <t>3434-2015</t>
  </si>
  <si>
    <t>SUM.COCINA</t>
  </si>
  <si>
    <t>3485-2015</t>
  </si>
  <si>
    <t>3624-2015</t>
  </si>
  <si>
    <t>3625-2015</t>
  </si>
  <si>
    <t>3724-2015</t>
  </si>
  <si>
    <t>3756-2015</t>
  </si>
  <si>
    <t>3775-2015</t>
  </si>
  <si>
    <t>3885-2015</t>
  </si>
  <si>
    <t>3922-2015</t>
  </si>
  <si>
    <t>3993-2015</t>
  </si>
  <si>
    <t>1156-2019</t>
  </si>
  <si>
    <t>SUM.UT.VARIO</t>
  </si>
  <si>
    <t>2019-2019</t>
  </si>
  <si>
    <t>2970-2014</t>
  </si>
  <si>
    <t>2988-2014</t>
  </si>
  <si>
    <t>2992-2014</t>
  </si>
  <si>
    <t>3034-2014</t>
  </si>
  <si>
    <t>4021-2014</t>
  </si>
  <si>
    <t>DR. NEWTON SOLANO</t>
  </si>
  <si>
    <t>LIC. JEAN FLORES</t>
  </si>
  <si>
    <t xml:space="preserve">               </t>
  </si>
  <si>
    <t xml:space="preserve">                  DIRECTOR</t>
  </si>
  <si>
    <t>ADMINISTRADOR</t>
  </si>
  <si>
    <t>JENNIFFER  J. RODRIGUEZ</t>
  </si>
  <si>
    <t>ENC. CONTABILIDAD</t>
  </si>
  <si>
    <t>"""""""""""</t>
  </si>
  <si>
    <t>EN EL CASO DE CETIOSA NO TIENEN LOS NUMEROS DE FACTURAS PORQUE</t>
  </si>
  <si>
    <t>DICHO SUPLIDOR  EMITE LA FACTURA GUBERNAMENTAL CUANDO SE REALIZAN</t>
  </si>
  <si>
    <t>LOS PAGOS.</t>
  </si>
  <si>
    <t>""""""""""""</t>
  </si>
  <si>
    <t>EN EL CASO DE LOS NUMEROS DE ORDEN LOS QUE NO POSEEN SE DEBE A DEBILIDADES</t>
  </si>
  <si>
    <t>DEPARTAMENTALES, YA SE TOMARON MEDIDAS PARA EN LO ADELANTE CORREGIR DICHA</t>
  </si>
  <si>
    <t>DEBILIDAD.</t>
  </si>
  <si>
    <t>""""""</t>
  </si>
  <si>
    <t>P0191017</t>
  </si>
  <si>
    <t>Servicios de Alimentación</t>
  </si>
  <si>
    <t xml:space="preserve">MES  REPORTADO:      </t>
  </si>
  <si>
    <t>14</t>
  </si>
  <si>
    <t>23</t>
  </si>
  <si>
    <t>Suministros de Medicamentos</t>
  </si>
  <si>
    <t>Revisado Por:</t>
  </si>
  <si>
    <t>G198+=G197+G199</t>
  </si>
  <si>
    <t>1</t>
  </si>
  <si>
    <t>3</t>
  </si>
  <si>
    <t>4</t>
  </si>
  <si>
    <t>9</t>
  </si>
  <si>
    <t>11</t>
  </si>
  <si>
    <t>12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</si>
  <si>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</si>
  <si>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</si>
  <si>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</si>
  <si>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</si>
  <si>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</si>
  <si>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</si>
  <si>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</si>
  <si>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</si>
  <si>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</si>
  <si>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24</t>
  </si>
  <si>
    <t>25</t>
  </si>
  <si>
    <t>27</t>
  </si>
  <si>
    <t>2287-05</t>
  </si>
  <si>
    <t>30</t>
  </si>
  <si>
    <t>31</t>
  </si>
  <si>
    <t>SUM.COMBUSTIBLES</t>
  </si>
  <si>
    <t>767-2024</t>
  </si>
  <si>
    <t>B1500000003</t>
  </si>
  <si>
    <t>CELCA DISPLAY SRL</t>
  </si>
  <si>
    <t>ELABORACION DE CAUNTER</t>
  </si>
  <si>
    <t>CELCA DISPLAY</t>
  </si>
  <si>
    <t>SUM ELAB. DE CAUNTER</t>
  </si>
  <si>
    <t>455-2024</t>
  </si>
  <si>
    <t>B1500000007</t>
  </si>
  <si>
    <t>FHEYAMS SERVICES SUPPLIER</t>
  </si>
  <si>
    <t>Utiles de Escritorios, Oficina, Inform.</t>
  </si>
  <si>
    <t>UNIFORMES</t>
  </si>
  <si>
    <t>32</t>
  </si>
  <si>
    <t>33</t>
  </si>
  <si>
    <t>34</t>
  </si>
  <si>
    <t>SUM.UNIFORMES</t>
  </si>
  <si>
    <t>Glosa  Año 2025</t>
  </si>
  <si>
    <t>Año :    2025</t>
  </si>
  <si>
    <t>Año:  2025</t>
  </si>
  <si>
    <t>PERIODO ENERO-DICIEMBRE 2025</t>
  </si>
  <si>
    <t>Ingresos Por Facturación ARS Enero -Diciembre 2025</t>
  </si>
  <si>
    <t>2395-01</t>
  </si>
  <si>
    <t>MONTO AÑO 2024</t>
  </si>
  <si>
    <t>MONTO AL 31 ENERO 2025</t>
  </si>
  <si>
    <t>0059-2020</t>
  </si>
  <si>
    <t>INAPA</t>
  </si>
  <si>
    <t>COMPROMISOS DE DEUDAS AÑO 2025</t>
  </si>
  <si>
    <t>CONSOLIDADO GASTOS EJECUCION FINANCIERA  2025</t>
  </si>
  <si>
    <t>EJECUCION DE GASTOS  FONDO REPONIBLE 2025</t>
  </si>
  <si>
    <t>EJECUCUION DE GASTOS VENTA SERVICIOS  2025</t>
  </si>
  <si>
    <t>2391-01</t>
  </si>
  <si>
    <t>Servicios de Agua Potable</t>
  </si>
  <si>
    <t>2217-01</t>
  </si>
  <si>
    <t xml:space="preserve">Comportamiento de Ingresos Percibidos Segregados según Origen </t>
  </si>
  <si>
    <t>Origen</t>
  </si>
  <si>
    <t xml:space="preserve">Fecha depópsito </t>
  </si>
  <si>
    <t xml:space="preserve">Núm. de Documento de referencia </t>
  </si>
  <si>
    <t xml:space="preserve">Valor de Transferencia o Cheque </t>
  </si>
  <si>
    <t>Odontología (subsidio SeNaSa)</t>
  </si>
  <si>
    <t>Otros Aportes</t>
  </si>
  <si>
    <t xml:space="preserve">Cafetería </t>
  </si>
  <si>
    <t>Otros ingresos no identificados precedentemente</t>
  </si>
  <si>
    <t>Cuenta Núm.</t>
  </si>
  <si>
    <t>Balance en libro</t>
  </si>
  <si>
    <t>Balance en Banco</t>
  </si>
  <si>
    <t>Balance Conciliado</t>
  </si>
  <si>
    <t>Revisado por: Lic. Jean Flores</t>
  </si>
  <si>
    <t>____________________________________</t>
  </si>
  <si>
    <t>___________________________________</t>
  </si>
  <si>
    <t>________________________________</t>
  </si>
  <si>
    <t>SUED &amp; FARGESA</t>
  </si>
  <si>
    <t>BIO-NUCLEAR</t>
  </si>
  <si>
    <t>SILVER PHARMA</t>
  </si>
  <si>
    <t>MIX AIR DOMINICANA</t>
  </si>
  <si>
    <t>HOSPIFAR,SRL</t>
  </si>
  <si>
    <t>STRONICS</t>
  </si>
  <si>
    <t>Suministro mensualidad Sistema</t>
  </si>
  <si>
    <t>SPEEDWI  TELECOM</t>
  </si>
  <si>
    <t>Suministro GLP</t>
  </si>
  <si>
    <t>2371-04</t>
  </si>
  <si>
    <t>ECO CETIOSA</t>
  </si>
  <si>
    <t>Comparacion de precio</t>
  </si>
  <si>
    <t>MONTO AL 28 FEBRERO 2025</t>
  </si>
  <si>
    <t>MONTO AL 31 MARZO 2025</t>
  </si>
  <si>
    <t>MONTO AÑO 2015</t>
  </si>
  <si>
    <t>MONTO AÑO 2016</t>
  </si>
  <si>
    <t>MONTO AÑO 2017</t>
  </si>
  <si>
    <t>MONTO AÑO 2018</t>
  </si>
  <si>
    <t>MONTO AÑO 2019</t>
  </si>
  <si>
    <t>MONTO AÑO 2020</t>
  </si>
  <si>
    <t>LAHMEDOM</t>
  </si>
  <si>
    <t>ULTRALAB</t>
  </si>
  <si>
    <t>HEXAPOWER PHARMA</t>
  </si>
  <si>
    <t>FARACH</t>
  </si>
  <si>
    <t>KARYBERTH TECHNOLOGY</t>
  </si>
  <si>
    <t>SEAN DOMINICAN</t>
  </si>
  <si>
    <t>Suministro Ferreteros</t>
  </si>
  <si>
    <t>SRS:  4</t>
  </si>
  <si>
    <t xml:space="preserve">MES REPORTADO </t>
  </si>
  <si>
    <r>
      <t>MONTO AÑO≤</t>
    </r>
    <r>
      <rPr>
        <b/>
        <sz val="9"/>
        <color rgb="FF000000"/>
        <rFont val="Calibri"/>
        <family val="2"/>
      </rPr>
      <t>2014</t>
    </r>
  </si>
  <si>
    <t>A&amp;M PLOMERIA</t>
  </si>
  <si>
    <t>Preparado por: Lic. Miulvi Astacio</t>
  </si>
  <si>
    <t>SUM.AGUA</t>
  </si>
  <si>
    <t>MIX AIR</t>
  </si>
  <si>
    <t>SUM.OXIGENOS</t>
  </si>
  <si>
    <t>Atenciones a pacientes extranjeros</t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</si>
  <si>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</si>
  <si>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</si>
  <si>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</si>
  <si>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</si>
  <si>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</si>
  <si>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</si>
  <si>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</si>
  <si>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</si>
  <si>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</si>
  <si>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CARLOS OVIDIO GENAO</t>
  </si>
  <si>
    <t>ZEN PHARMACEUTHICAL</t>
  </si>
  <si>
    <t xml:space="preserve">Sum. Quirurgicos </t>
  </si>
  <si>
    <t xml:space="preserve">Suministros de Medicamentos </t>
  </si>
  <si>
    <t>2398-01</t>
  </si>
  <si>
    <t>E450000000049</t>
  </si>
  <si>
    <t>MES REPORTADO</t>
  </si>
  <si>
    <t>SERVICIOS DE COMBUSTIBLES</t>
  </si>
  <si>
    <t>REGION 4</t>
  </si>
  <si>
    <t>Establecimiento:  HOSPITAL REGIONAL ING. LUIS L. BOGAERT                SRS:  4</t>
  </si>
  <si>
    <t xml:space="preserve"> REGIONAL DE SALUD CIBAO OCCIDENTAL R - 4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</si>
  <si>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</si>
  <si>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2613-01</t>
  </si>
  <si>
    <t>EPX DOMINICANA</t>
  </si>
  <si>
    <t>2311-01-2395-01</t>
  </si>
  <si>
    <t>SUPLITODO RD GAMVESA</t>
  </si>
  <si>
    <t>Material de Limpieza y Papel</t>
  </si>
  <si>
    <t>2391-01-2332-01</t>
  </si>
  <si>
    <t>Alimentos</t>
  </si>
  <si>
    <t>Utensilios de Cocina y Comedor</t>
  </si>
  <si>
    <t>GRUPO FAMACEUTICO CAR-M</t>
  </si>
  <si>
    <t>TIO DEPOSITO DENTAL</t>
  </si>
  <si>
    <t>B1500000164</t>
  </si>
  <si>
    <t>2272-04</t>
  </si>
  <si>
    <t>RESUMEN DE COMPRAS o SERVICIOS POR CUENTA:</t>
  </si>
  <si>
    <t>RESUMEN DE PROCESO SEGÚN MODALIDAD:</t>
  </si>
  <si>
    <t>Compra Menor</t>
  </si>
  <si>
    <t>2332-01</t>
  </si>
  <si>
    <t>TOTAL RESUMEN</t>
  </si>
  <si>
    <t>DIRECTOR</t>
  </si>
  <si>
    <t>ADMINISTRADOR:</t>
  </si>
  <si>
    <t>Nota 1: La referencia del proceso de compra se corresponde al #expediente del proceso</t>
  </si>
  <si>
    <t>emitido en  portal Compras y contrataciones .</t>
  </si>
  <si>
    <t>SUPERMERCADO MOREL</t>
  </si>
  <si>
    <t>ALIMENTOS,MAT.PLASTICO Y DE LIMP.</t>
  </si>
  <si>
    <t>PAPELERIA</t>
  </si>
  <si>
    <t>PRIMERA DE HUMANO</t>
  </si>
  <si>
    <t>Medicamentos y Mat. Quirurgico</t>
  </si>
  <si>
    <t>2341-01-2393-01</t>
  </si>
  <si>
    <t>TIRILLAS</t>
  </si>
  <si>
    <t>BIO-NOVA</t>
  </si>
  <si>
    <t>LAMBDA DIAGNOSTICOS</t>
  </si>
  <si>
    <t>CAMESUP</t>
  </si>
  <si>
    <t>Suministro de Odontologia</t>
  </si>
  <si>
    <t>Papel de Imágenes P/Rayos x</t>
  </si>
  <si>
    <t>B1500000174</t>
  </si>
  <si>
    <t>ARCADIO ESPINAL</t>
  </si>
  <si>
    <t>2354-01</t>
  </si>
  <si>
    <t>Suministro de Papel</t>
  </si>
  <si>
    <t>2631-01</t>
  </si>
  <si>
    <t>LAB.DENTAL HNOS HERNANDEZ</t>
  </si>
  <si>
    <t>COMBUSTIBLES DEL YUNA</t>
  </si>
  <si>
    <t>IMPRENTA REYES CABRERA</t>
  </si>
  <si>
    <t>Suministro de Impresos</t>
  </si>
  <si>
    <t>2222-01</t>
  </si>
  <si>
    <t>546-2025</t>
  </si>
  <si>
    <t>CHAVES INDUST.WILMIN  CHAVEZ</t>
  </si>
  <si>
    <t>Confeccion de Puertas(2712-01)</t>
  </si>
  <si>
    <t>548-2025</t>
  </si>
  <si>
    <t>Equipo de Informatica</t>
  </si>
  <si>
    <t>MEDICAL SUPPLY HERNANDEZ V</t>
  </si>
  <si>
    <t>Suministro de Ortopedia</t>
  </si>
  <si>
    <t>FARMACIA ELYFIOR</t>
  </si>
  <si>
    <t>E450000000103</t>
  </si>
  <si>
    <t>Dr. Newton Solano</t>
  </si>
  <si>
    <t>ENC. DE COMPRAS:  Lic. Laury M. Andeliz</t>
  </si>
  <si>
    <t>MONTO AL 31 JULIO 2025</t>
  </si>
  <si>
    <t>KARYBERTH TECNOLOGY</t>
  </si>
  <si>
    <t>Aprobado Por:</t>
  </si>
  <si>
    <t>*</t>
  </si>
  <si>
    <t>SUM.MAT. DE INFORMATICA</t>
  </si>
  <si>
    <t>ATENCIONES A PACIENTES EXTRANJEROS</t>
  </si>
  <si>
    <t>MES</t>
  </si>
  <si>
    <t>DETALLE OBLIGACIONES CONTRAÍDAS PENDIENTES AL 31/08/2025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</si>
  <si>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REGIONAL ING. LUIS L. BOGAERT </t>
    </r>
    <r>
      <rPr>
        <b/>
        <sz val="11"/>
        <color theme="1"/>
        <rFont val="Calibri"/>
        <family val="2"/>
        <scheme val="minor"/>
      </rPr>
      <t xml:space="preserve">        Mes:  AGOSTO    Año:  2025         SRS: 04</t>
    </r>
  </si>
  <si>
    <t>Dado a los 31 dias del mes de agosto del año 2025.</t>
  </si>
  <si>
    <t>Correspondiente al mes de agosto del año 2025</t>
  </si>
  <si>
    <r>
      <t>Bajo las funciones que nos asisten certificamos que el valor de los ingresos percibidos al  31 de agosto 2025 correspondieron a un monto de RD$ Siete Millones Trecientos Ochenta y Ocho Mil Cuatrocientos Dos Pesos Con 98 /100 (</t>
    </r>
    <r>
      <rPr>
        <b/>
        <sz val="11"/>
        <color theme="1"/>
        <rFont val="Calibri"/>
        <family val="2"/>
        <scheme val="minor"/>
      </rPr>
      <t>RD$7,388,402.98)</t>
    </r>
  </si>
  <si>
    <t>LISTADO DE ORDENES DE COMPRAS O SERVICIOS EFECTUADAS DURANTE EL MES: AGOSTO-2025</t>
  </si>
  <si>
    <t>CM-2025-0004</t>
  </si>
  <si>
    <t>400-2025</t>
  </si>
  <si>
    <t>B1500000285</t>
  </si>
  <si>
    <t>RONNY PUBLICIADA SRL</t>
  </si>
  <si>
    <t>Confección de Letrero</t>
  </si>
  <si>
    <t>2221-01</t>
  </si>
  <si>
    <t>2712-01</t>
  </si>
  <si>
    <t>552-2025</t>
  </si>
  <si>
    <t>B1500001337</t>
  </si>
  <si>
    <t>553-2025</t>
  </si>
  <si>
    <t>B1500000656</t>
  </si>
  <si>
    <t>554-2025</t>
  </si>
  <si>
    <t>E450000000044</t>
  </si>
  <si>
    <t>555-2025</t>
  </si>
  <si>
    <t>B1500000297</t>
  </si>
  <si>
    <t>Papel de Camilla y Sum. Quirurgico</t>
  </si>
  <si>
    <t>2332-01-2393-01</t>
  </si>
  <si>
    <t>556-2025</t>
  </si>
  <si>
    <t>B1500001652</t>
  </si>
  <si>
    <t>557-2025</t>
  </si>
  <si>
    <t>E450000000142</t>
  </si>
  <si>
    <t>558-2025</t>
  </si>
  <si>
    <t>E450000000143</t>
  </si>
  <si>
    <t>559-2025</t>
  </si>
  <si>
    <t>B1500001401</t>
  </si>
  <si>
    <t>560-2025</t>
  </si>
  <si>
    <t>E450000000275</t>
  </si>
  <si>
    <t>Insumos y React.de Laboratorio</t>
  </si>
  <si>
    <t>561-2025</t>
  </si>
  <si>
    <t>E450000000277</t>
  </si>
  <si>
    <t>562-2025</t>
  </si>
  <si>
    <t>B1500001477</t>
  </si>
  <si>
    <t>563-2025</t>
  </si>
  <si>
    <t>E450000000184</t>
  </si>
  <si>
    <t>564-2025</t>
  </si>
  <si>
    <t>565-2025</t>
  </si>
  <si>
    <t>B1500000665</t>
  </si>
  <si>
    <t>DELMEDICAL</t>
  </si>
  <si>
    <t>566-2025</t>
  </si>
  <si>
    <t>E450000007351</t>
  </si>
  <si>
    <t>567-2025</t>
  </si>
  <si>
    <t>B1500017548</t>
  </si>
  <si>
    <t>568-2025</t>
  </si>
  <si>
    <t>E450000004218</t>
  </si>
  <si>
    <t>569-2025</t>
  </si>
  <si>
    <t>E450000000065</t>
  </si>
  <si>
    <t>570-2025</t>
  </si>
  <si>
    <t>B1500001193</t>
  </si>
  <si>
    <t>571-2025</t>
  </si>
  <si>
    <t>B1500008268</t>
  </si>
  <si>
    <t>572-2025</t>
  </si>
  <si>
    <t>B1500008269</t>
  </si>
  <si>
    <t>573-2025</t>
  </si>
  <si>
    <t>B1500008270</t>
  </si>
  <si>
    <t>574-2025</t>
  </si>
  <si>
    <t>575-2025</t>
  </si>
  <si>
    <t>PORTAL(VRF)</t>
  </si>
  <si>
    <t>576-2025</t>
  </si>
  <si>
    <t>B1500000045</t>
  </si>
  <si>
    <t>577-2025</t>
  </si>
  <si>
    <t>E450000017032</t>
  </si>
  <si>
    <t>578-2025</t>
  </si>
  <si>
    <t>E450000000251</t>
  </si>
  <si>
    <t>579-2025</t>
  </si>
  <si>
    <t>E450000000252</t>
  </si>
  <si>
    <t>580-2025</t>
  </si>
  <si>
    <t>E450000000148</t>
  </si>
  <si>
    <t>581-2025</t>
  </si>
  <si>
    <t>582-2025</t>
  </si>
  <si>
    <t>B1500000163</t>
  </si>
  <si>
    <t>Alimentos Y Utensilios de Cocina</t>
  </si>
  <si>
    <t>583-2025</t>
  </si>
  <si>
    <t>B1500001824</t>
  </si>
  <si>
    <t>584-2025</t>
  </si>
  <si>
    <t>B1500000911</t>
  </si>
  <si>
    <t>585-2025</t>
  </si>
  <si>
    <t>E450000000145</t>
  </si>
  <si>
    <t>586-2025</t>
  </si>
  <si>
    <t>E450000003528</t>
  </si>
  <si>
    <t>587-2025</t>
  </si>
  <si>
    <t>B1500000206</t>
  </si>
  <si>
    <t>588-2025</t>
  </si>
  <si>
    <t>B1500002343</t>
  </si>
  <si>
    <t>MULTICENTRO EL MANA</t>
  </si>
  <si>
    <t>589-2025</t>
  </si>
  <si>
    <t>B1500001828</t>
  </si>
  <si>
    <t>590-2025</t>
  </si>
  <si>
    <t>E450000000055</t>
  </si>
  <si>
    <t>591-2025</t>
  </si>
  <si>
    <t>B1500000004</t>
  </si>
  <si>
    <t>592-2025</t>
  </si>
  <si>
    <t>B1500001709</t>
  </si>
  <si>
    <t>SERVIAMED DOMINICANA</t>
  </si>
  <si>
    <t>Suministro Disimetro</t>
  </si>
  <si>
    <t>593-2025</t>
  </si>
  <si>
    <t>E450000000080</t>
  </si>
  <si>
    <t>594-2025</t>
  </si>
  <si>
    <t>B1500000172</t>
  </si>
  <si>
    <t>ABREU LANTIGUA EVENTOS</t>
  </si>
  <si>
    <t>CD-2025-0011</t>
  </si>
  <si>
    <t>595-2025</t>
  </si>
  <si>
    <t>B1500000092</t>
  </si>
  <si>
    <t>MULTIGESTIONES YAVIC</t>
  </si>
  <si>
    <t xml:space="preserve">Suministros de Fundas </t>
  </si>
  <si>
    <t>596-2025</t>
  </si>
  <si>
    <t>JAYCO BOUTIQUE DE SOUVENIR</t>
  </si>
  <si>
    <t>Utiles de Escritorios.</t>
  </si>
  <si>
    <t>597-2025</t>
  </si>
  <si>
    <t>E450000000910</t>
  </si>
  <si>
    <t>598-2025</t>
  </si>
  <si>
    <t>B1500000826</t>
  </si>
  <si>
    <t>599-2025</t>
  </si>
  <si>
    <t>B1500000173</t>
  </si>
  <si>
    <t>600-2025</t>
  </si>
  <si>
    <t>B1500006565</t>
  </si>
  <si>
    <t>BRICOMP</t>
  </si>
  <si>
    <t>601-2025</t>
  </si>
  <si>
    <t>B1500001833</t>
  </si>
  <si>
    <t>602-2025</t>
  </si>
  <si>
    <t>B1500001834</t>
  </si>
  <si>
    <t>603-2025</t>
  </si>
  <si>
    <t>B1500008315</t>
  </si>
  <si>
    <t>604-2025</t>
  </si>
  <si>
    <t>605-2025</t>
  </si>
  <si>
    <t>B1500001022</t>
  </si>
  <si>
    <t>606-2025</t>
  </si>
  <si>
    <t>B1500002348</t>
  </si>
  <si>
    <t>Suministro de Limpieza</t>
  </si>
  <si>
    <t>607-2025</t>
  </si>
  <si>
    <t>B1500006571</t>
  </si>
  <si>
    <t>608-2025</t>
  </si>
  <si>
    <t>E450000000165</t>
  </si>
  <si>
    <t>Suministro Agua Destilada</t>
  </si>
  <si>
    <t>609-2025</t>
  </si>
  <si>
    <t>E450000000051</t>
  </si>
  <si>
    <t>610-2025</t>
  </si>
  <si>
    <t>B1500001876</t>
  </si>
  <si>
    <t>611-2025</t>
  </si>
  <si>
    <t>E450000000058</t>
  </si>
  <si>
    <t>612-2025</t>
  </si>
  <si>
    <t>E450000087964</t>
  </si>
  <si>
    <t>613-2025</t>
  </si>
  <si>
    <t>E450000087983</t>
  </si>
  <si>
    <t>614-2025</t>
  </si>
  <si>
    <t>E450000000085</t>
  </si>
  <si>
    <t>ROCE DENTAL</t>
  </si>
  <si>
    <t>615-2025</t>
  </si>
  <si>
    <t>E4500007643</t>
  </si>
  <si>
    <t>616-2025</t>
  </si>
  <si>
    <t>B1500001343</t>
  </si>
  <si>
    <t>617-2025</t>
  </si>
  <si>
    <t>B1500000983</t>
  </si>
  <si>
    <t>618-2025</t>
  </si>
  <si>
    <t>B1500002770</t>
  </si>
  <si>
    <t>619-2025</t>
  </si>
  <si>
    <t>B1500000503</t>
  </si>
  <si>
    <t>BP MEDICAL</t>
  </si>
  <si>
    <t>Mantenimiento Equipo Medico</t>
  </si>
  <si>
    <t>620-2025</t>
  </si>
  <si>
    <t>B1500000131</t>
  </si>
  <si>
    <t>621-2025</t>
  </si>
  <si>
    <t>PORTAL(TOMOGRAFO)</t>
  </si>
  <si>
    <t>Portal( Tomografo</t>
  </si>
  <si>
    <t>622-2025</t>
  </si>
  <si>
    <t>E450000000060</t>
  </si>
  <si>
    <t>Suministro de Muebles P/Ofic</t>
  </si>
  <si>
    <t>623-2025</t>
  </si>
  <si>
    <t>B1500000175</t>
  </si>
  <si>
    <t>624-2025</t>
  </si>
  <si>
    <t>B1500003197</t>
  </si>
  <si>
    <t>Suministro de Refrigeración</t>
  </si>
  <si>
    <t>625-2025</t>
  </si>
  <si>
    <t>B1500004164</t>
  </si>
  <si>
    <t>626-2025</t>
  </si>
  <si>
    <t>B1500001384</t>
  </si>
  <si>
    <t>UNIVERSAL DE COMPUTOS</t>
  </si>
  <si>
    <t>627-2025</t>
  </si>
  <si>
    <t>B1500001385</t>
  </si>
  <si>
    <t>628-2025</t>
  </si>
  <si>
    <t>E450000007702</t>
  </si>
  <si>
    <t>629-2025</t>
  </si>
  <si>
    <t>B1500006598</t>
  </si>
  <si>
    <t>EDITORA DEL CARIBE</t>
  </si>
  <si>
    <t>Suministro de Publiciadad</t>
  </si>
  <si>
    <t>630-2025</t>
  </si>
  <si>
    <t>631-2025</t>
  </si>
  <si>
    <t>E450000001353</t>
  </si>
  <si>
    <t>EDITORA LISTIN DIARIO</t>
  </si>
  <si>
    <t>632-2025</t>
  </si>
  <si>
    <t>B1500011037</t>
  </si>
  <si>
    <t>MOREL</t>
  </si>
  <si>
    <t>633-2025</t>
  </si>
  <si>
    <t>E450000000062</t>
  </si>
  <si>
    <t>Suministro de Silla Tipo cajero</t>
  </si>
  <si>
    <t>2611-01</t>
  </si>
  <si>
    <t>634-2025</t>
  </si>
  <si>
    <t>E450000000056</t>
  </si>
  <si>
    <t>635-2025</t>
  </si>
  <si>
    <t>B1500000176</t>
  </si>
  <si>
    <t>636-2025</t>
  </si>
  <si>
    <t>B1500002373</t>
  </si>
  <si>
    <t>MULICENTRO EL MANA</t>
  </si>
  <si>
    <t>637-2025</t>
  </si>
  <si>
    <t>B1500001348</t>
  </si>
  <si>
    <t>638-2025</t>
  </si>
  <si>
    <t>B1500000177</t>
  </si>
  <si>
    <t>639-2025</t>
  </si>
  <si>
    <t>E450000000149</t>
  </si>
  <si>
    <t>Suministro Eléctricos</t>
  </si>
  <si>
    <t>2396-01</t>
  </si>
  <si>
    <t>640-2025</t>
  </si>
  <si>
    <t>E450000000147</t>
  </si>
  <si>
    <t>MONTO AL 31 DE AGOSTO 2025</t>
  </si>
  <si>
    <t>ABREU LANTIGUA EVENTS</t>
  </si>
  <si>
    <t>SER. ALIMENTACION</t>
  </si>
  <si>
    <t>ARGOS FARMCAEUTICA</t>
  </si>
  <si>
    <t>JAYCO BOUTIQUE</t>
  </si>
  <si>
    <t>MATERIAL DE LIMPIEZA</t>
  </si>
  <si>
    <t>35</t>
  </si>
  <si>
    <t>RONNY PUBLIICIDAD</t>
  </si>
  <si>
    <t>36</t>
  </si>
  <si>
    <t>37</t>
  </si>
  <si>
    <t>38</t>
  </si>
  <si>
    <t>SERVIAMED</t>
  </si>
  <si>
    <t>39</t>
  </si>
  <si>
    <t>40</t>
  </si>
  <si>
    <t>41</t>
  </si>
  <si>
    <t>42</t>
  </si>
  <si>
    <t>43</t>
  </si>
  <si>
    <t>44</t>
  </si>
  <si>
    <t>LISTADO DE DEUDAS  PENDIENTES DE PAGO AÑO FISCAL  2013  HASTA  31 DE AGOSTO 2025</t>
  </si>
  <si>
    <t>SUM. DE ALIMENTOS</t>
  </si>
  <si>
    <t>SUM.FERRETEROS</t>
  </si>
  <si>
    <t>SUM. ELECTRICOS</t>
  </si>
  <si>
    <t>SUM. Y MANT. DE AIRES</t>
  </si>
  <si>
    <t>SUM. MANT. EQUIPO MEDICO</t>
  </si>
  <si>
    <t>AYUNTAMINETO</t>
  </si>
  <si>
    <t>AYUNTAMIENTO</t>
  </si>
  <si>
    <t>REC. DESECHOS SOLIDOS</t>
  </si>
  <si>
    <t>ARTELUZ</t>
  </si>
  <si>
    <t>SERV. DE ALQUILER</t>
  </si>
  <si>
    <t>BIOINGENIUS SMART</t>
  </si>
  <si>
    <t>MANT. EQUIPO</t>
  </si>
  <si>
    <t>BIOMATERIALES DOM.</t>
  </si>
  <si>
    <t>SUM. QUIRURGICO</t>
  </si>
  <si>
    <t>BIONUCLEAR</t>
  </si>
  <si>
    <t>HOSPIFAR</t>
  </si>
  <si>
    <t>SUM. DE LABORATORIO</t>
  </si>
  <si>
    <t>E45000000277</t>
  </si>
  <si>
    <t>SUM.  QUIRURGICO</t>
  </si>
  <si>
    <t>JAYCO  BOUTIIQUE</t>
  </si>
  <si>
    <t>MATERIAL DE OFICINAS</t>
  </si>
  <si>
    <t>KARYBERRTH TECNOLOGY</t>
  </si>
  <si>
    <t>SUM. MUEBLES DE OFICINAS</t>
  </si>
  <si>
    <t>SUM. UT. COCINA Y COMEDOR</t>
  </si>
  <si>
    <t>MULTIGESTIONES YAVIC,SRL</t>
  </si>
  <si>
    <t>SUM. MAT, LIMPIEZA</t>
  </si>
  <si>
    <t>SUM.ODONTOLOGICO</t>
  </si>
  <si>
    <t>RONNY PUBLICIDAD</t>
  </si>
  <si>
    <t>CONFECCION DE LETRERO DE EMERGENCIA</t>
  </si>
  <si>
    <t>SERVIAMED DOM.</t>
  </si>
  <si>
    <t>SUM.  DOSMETRO</t>
  </si>
  <si>
    <t>SUM. DE INFORMATICA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</si>
</sst>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$_-;\-* #,##0.00\ _$_-;_-* &quot;-&quot;??\ _$_-;_-@_-"/>
    <numFmt numFmtId="165" formatCode="_(&quot;RD$&quot;* #,##0.00_);_(&quot;RD$&quot;* \(#,##0.00\);_(&quot;RD$&quot;* &quot;-&quot;??_);_(@_)"/>
    <numFmt numFmtId="166" formatCode="_-* #,##0.00\ _€_-;\-* #,##0.00\ _€_-;_-* &quot;-&quot;??\ _€_-;_-@_-"/>
    <numFmt numFmtId="167" formatCode="#,##0.00;[Red]#,##0.00"/>
    <numFmt numFmtId="168" formatCode="_(* #,##0_);_(* \(#,##0\);_(* &quot;-&quot;??_);_(@_)"/>
    <numFmt numFmtId="169" formatCode="_-&quot;RD$&quot;* #,##0.00_-;\-&quot;RD$&quot;* #,##0.00_-;_-&quot;RD$&quot;* &quot;-&quot;??_-;_-@_-"/>
    <numFmt numFmtId="170" formatCode="&quot;RD$&quot;#,##0.00"/>
    <numFmt numFmtId="171" formatCode="_-* #,##0.00_-;\-* #,##0.00_-;_-* &quot;-&quot;??_-;_-@_-"/>
    <numFmt numFmtId="172" formatCode="&quot;RD$&quot;#,##0.00_);[Red]\(&quot;RD$&quot;#,##0.00\)"/>
    <numFmt numFmtId="173" formatCode="_-[$RD$-1C0A]* #,##0.00_ ;_-[$RD$-1C0A]* \-#,##0.00\ ;_-[$RD$-1C0A]* &quot;-&quot;??_ ;_-@_ "/>
    <numFmt numFmtId="174" formatCode="dd/mm/yyyy;@"/>
  </numFmts>
  <fonts count="1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b/>
      <u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Times New Roman"/>
      <family val="1"/>
    </font>
    <font>
      <b/>
      <sz val="36"/>
      <name val="Times New Roman"/>
      <family val="1"/>
    </font>
    <font>
      <sz val="14"/>
      <name val="Times New Roman"/>
      <family val="1"/>
    </font>
    <font>
      <b/>
      <sz val="22"/>
      <name val="Times New Roman"/>
      <family val="1"/>
    </font>
    <font>
      <b/>
      <sz val="14"/>
      <color theme="0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20"/>
      <color theme="1"/>
      <name val="Times New Roman"/>
      <family val="1"/>
    </font>
    <font>
      <b/>
      <sz val="16"/>
      <name val="Times New Roman"/>
      <family val="1"/>
    </font>
    <font>
      <b/>
      <sz val="12"/>
      <color theme="0"/>
      <name val="Times New Roman"/>
      <family val="1"/>
    </font>
    <font>
      <b/>
      <sz val="10"/>
      <name val="Times New Roman"/>
      <family val="1"/>
    </font>
    <font>
      <sz val="10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0"/>
      <name val="Calibri Light"/>
      <family val="2"/>
      <scheme val="major"/>
    </font>
    <font>
      <sz val="12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0"/>
      <color rgb="FFFF0000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b/>
      <sz val="24"/>
      <color theme="1"/>
      <name val="Times New Roman"/>
      <family val="1"/>
    </font>
    <font>
      <b/>
      <sz val="2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u/>
      <sz val="11"/>
      <color theme="1"/>
      <name val="Times New Roman"/>
      <family val="1"/>
    </font>
    <font>
      <b/>
      <sz val="9"/>
      <name val="Calibri Light"/>
      <family val="2"/>
      <scheme val="major"/>
    </font>
    <font>
      <u/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Times New Roman"/>
      <family val="1"/>
    </font>
    <font>
      <b/>
      <sz val="28"/>
      <name val="Calibri Light"/>
      <family val="1"/>
      <scheme val="major"/>
    </font>
    <font>
      <sz val="14"/>
      <name val="Calibri Light"/>
      <family val="1"/>
      <scheme val="major"/>
    </font>
    <font>
      <sz val="20"/>
      <name val="Calibri Light"/>
      <family val="1"/>
      <scheme val="major"/>
    </font>
    <font>
      <b/>
      <sz val="14"/>
      <name val="Calibri Light"/>
      <family val="2"/>
      <scheme val="major"/>
    </font>
    <font>
      <b/>
      <sz val="18"/>
      <name val="Calibri Light"/>
      <family val="1"/>
      <scheme val="major"/>
    </font>
    <font>
      <sz val="18"/>
      <color theme="1"/>
      <name val="Calibri"/>
      <family val="2"/>
      <scheme val="minor"/>
    </font>
    <font>
      <b/>
      <sz val="14"/>
      <name val="Calibri Light"/>
      <family val="1"/>
      <scheme val="major"/>
    </font>
    <font>
      <sz val="14"/>
      <color theme="5" tint="-0.249977111117893"/>
      <name val="Calibri"/>
      <family val="2"/>
      <scheme val="minor"/>
    </font>
    <font>
      <b/>
      <sz val="14"/>
      <color rgb="FFFF0000"/>
      <name val="Calibri Light"/>
      <family val="1"/>
      <scheme val="major"/>
    </font>
    <font>
      <b/>
      <u/>
      <sz val="14"/>
      <color rgb="FFFF0000"/>
      <name val="Calibri Light"/>
      <family val="1"/>
      <scheme val="major"/>
    </font>
    <font>
      <sz val="14"/>
      <color rgb="FFFF0000"/>
      <name val="Calibri Light"/>
      <family val="1"/>
      <scheme val="major"/>
    </font>
    <font>
      <b/>
      <sz val="14"/>
      <color theme="1"/>
      <name val="Calibri Light"/>
      <family val="1"/>
      <scheme val="major"/>
    </font>
    <font>
      <sz val="14"/>
      <color theme="1"/>
      <name val="Calibri Light"/>
      <family val="1"/>
      <scheme val="major"/>
    </font>
    <font>
      <sz val="14"/>
      <color rgb="FF000000"/>
      <name val="Calibri Light"/>
      <family val="1"/>
      <scheme val="major"/>
    </font>
    <font>
      <b/>
      <sz val="14"/>
      <color rgb="FF000000"/>
      <name val="Calibri Light"/>
      <family val="1"/>
      <scheme val="major"/>
    </font>
    <font>
      <sz val="14"/>
      <color theme="3" tint="-0.499984740745262"/>
      <name val="Calibri Light"/>
      <family val="1"/>
      <scheme val="major"/>
    </font>
    <font>
      <b/>
      <sz val="11"/>
      <name val="Calibri Light"/>
      <family val="1"/>
      <scheme val="major"/>
    </font>
    <font>
      <sz val="11"/>
      <name val="Calibri Light"/>
      <family val="1"/>
      <scheme val="major"/>
    </font>
    <font>
      <b/>
      <sz val="12"/>
      <color rgb="FFFF0000"/>
      <name val="Calibri"/>
      <family val="2"/>
      <scheme val="minor"/>
    </font>
    <font>
      <b/>
      <sz val="16"/>
      <name val="Calibri Light"/>
      <family val="1"/>
      <scheme val="maj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2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sz val="9"/>
      <name val="Calibri Light"/>
      <family val="2"/>
      <scheme val="major"/>
    </font>
    <font>
      <sz val="9"/>
      <color indexed="8"/>
      <name val="Calibri Light"/>
      <family val="2"/>
      <scheme val="major"/>
    </font>
    <font>
      <b/>
      <sz val="9"/>
      <color indexed="8"/>
      <name val="Calibri Light"/>
      <family val="2"/>
      <scheme val="major"/>
    </font>
    <font>
      <sz val="8"/>
      <name val="Arial"/>
      <family val="2"/>
    </font>
    <font>
      <sz val="8"/>
      <name val="Times New Roman"/>
      <family val="1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indexed="8"/>
      <name val="Calibri Light"/>
      <family val="2"/>
      <scheme val="major"/>
    </font>
    <font>
      <sz val="8"/>
      <name val="Calibri"/>
      <family val="2"/>
      <scheme val="minor"/>
    </font>
    <font>
      <sz val="18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10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name val="Calibri Light"/>
      <family val="2"/>
      <scheme val="major"/>
    </font>
    <font>
      <sz val="10"/>
      <color indexed="8"/>
      <name val="Calibri Light"/>
      <family val="2"/>
      <scheme val="major"/>
    </font>
    <font>
      <sz val="8"/>
      <color indexed="8"/>
      <name val="Calibri Light"/>
      <family val="2"/>
      <scheme val="major"/>
    </font>
    <font>
      <b/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sz val="9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sz val="8"/>
      <color theme="1"/>
      <name val="Calibri Light"/>
      <family val="1"/>
      <scheme val="major"/>
    </font>
    <font>
      <sz val="10"/>
      <name val="Calibri"/>
      <family val="2"/>
      <scheme val="minor"/>
    </font>
    <font>
      <b/>
      <sz val="9"/>
      <name val="Arial"/>
      <family val="2"/>
    </font>
    <font>
      <sz val="11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rgb="FF000000"/>
      <name val="Aptos Narrow"/>
      <family val="2"/>
    </font>
    <font>
      <b/>
      <sz val="9"/>
      <color rgb="FF000000"/>
      <name val="Calibri"/>
      <family val="2"/>
    </font>
    <font>
      <b/>
      <sz val="9"/>
      <name val="Calibri"/>
      <family val="2"/>
      <scheme val="minor"/>
    </font>
    <font>
      <sz val="8"/>
      <color rgb="FF000000"/>
      <name val="Times New Roman"/>
      <family val="1"/>
    </font>
    <font>
      <sz val="9"/>
      <name val="Calibri"/>
      <family val="2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</cellStyleXfs>
  <cellXfs count="893">
    <xf numFmtId="0" fontId="0" fillId="0" borderId="0" xfId="0"/>
    <xf numFmtId="0" fontId="4" fillId="2" borderId="2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0" fillId="0" borderId="10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/>
    <xf numFmtId="0" fontId="5" fillId="0" borderId="0" xfId="0" applyFont="1"/>
    <xf numFmtId="44" fontId="0" fillId="0" borderId="0" xfId="0" applyNumberFormat="1"/>
    <xf numFmtId="43" fontId="0" fillId="0" borderId="12" xfId="1" applyFont="1" applyBorder="1"/>
    <xf numFmtId="43" fontId="0" fillId="0" borderId="12" xfId="0" applyNumberFormat="1" applyBorder="1"/>
    <xf numFmtId="43" fontId="2" fillId="0" borderId="12" xfId="1" applyFont="1" applyBorder="1"/>
    <xf numFmtId="0" fontId="0" fillId="0" borderId="0" xfId="0" applyAlignment="1">
      <alignment wrapText="1"/>
    </xf>
    <xf numFmtId="0" fontId="10" fillId="0" borderId="0" xfId="0" applyFont="1"/>
    <xf numFmtId="0" fontId="14" fillId="6" borderId="12" xfId="0" applyFont="1" applyFill="1" applyBorder="1" applyAlignment="1">
      <alignment horizontal="left" vertical="center" wrapText="1" readingOrder="1"/>
    </xf>
    <xf numFmtId="0" fontId="20" fillId="10" borderId="17" xfId="3" applyFont="1" applyFill="1" applyBorder="1" applyAlignment="1">
      <alignment horizontal="center" vertical="center" wrapText="1"/>
    </xf>
    <xf numFmtId="4" fontId="21" fillId="6" borderId="12" xfId="8" applyNumberFormat="1" applyFont="1" applyFill="1" applyBorder="1" applyAlignment="1">
      <alignment horizontal="right" vertical="center"/>
    </xf>
    <xf numFmtId="9" fontId="18" fillId="6" borderId="12" xfId="6" applyFont="1" applyFill="1" applyBorder="1" applyAlignment="1">
      <alignment horizontal="center" vertical="center"/>
    </xf>
    <xf numFmtId="0" fontId="10" fillId="6" borderId="0" xfId="0" applyFont="1" applyFill="1"/>
    <xf numFmtId="4" fontId="18" fillId="6" borderId="12" xfId="8" applyNumberFormat="1" applyFont="1" applyFill="1" applyBorder="1" applyAlignment="1">
      <alignment horizontal="right" vertical="center"/>
    </xf>
    <xf numFmtId="4" fontId="18" fillId="0" borderId="12" xfId="8" applyNumberFormat="1" applyFont="1" applyBorder="1" applyAlignment="1">
      <alignment horizontal="right" vertical="center"/>
    </xf>
    <xf numFmtId="0" fontId="22" fillId="9" borderId="12" xfId="3" applyFont="1" applyFill="1" applyBorder="1" applyAlignment="1">
      <alignment horizontal="center" wrapText="1"/>
    </xf>
    <xf numFmtId="4" fontId="22" fillId="9" borderId="12" xfId="8" applyNumberFormat="1" applyFont="1" applyFill="1" applyBorder="1" applyAlignment="1">
      <alignment horizontal="right" vertical="center"/>
    </xf>
    <xf numFmtId="9" fontId="22" fillId="9" borderId="12" xfId="6" applyFont="1" applyFill="1" applyBorder="1" applyAlignment="1">
      <alignment horizontal="center" vertical="center"/>
    </xf>
    <xf numFmtId="0" fontId="23" fillId="0" borderId="0" xfId="3" applyFont="1" applyAlignment="1">
      <alignment horizontal="center"/>
    </xf>
    <xf numFmtId="4" fontId="23" fillId="0" borderId="0" xfId="3" applyNumberFormat="1" applyFont="1" applyAlignment="1">
      <alignment horizontal="center"/>
    </xf>
    <xf numFmtId="0" fontId="26" fillId="10" borderId="23" xfId="3" applyFont="1" applyFill="1" applyBorder="1" applyAlignment="1">
      <alignment horizontal="center" vertical="center" wrapText="1"/>
    </xf>
    <xf numFmtId="4" fontId="0" fillId="0" borderId="0" xfId="0" applyNumberFormat="1"/>
    <xf numFmtId="0" fontId="28" fillId="0" borderId="0" xfId="11" applyFont="1"/>
    <xf numFmtId="0" fontId="29" fillId="11" borderId="24" xfId="12" applyFont="1" applyFill="1" applyBorder="1" applyAlignment="1">
      <alignment horizontal="center" vertical="center" wrapText="1"/>
    </xf>
    <xf numFmtId="0" fontId="30" fillId="11" borderId="24" xfId="12" applyFont="1" applyFill="1" applyBorder="1" applyAlignment="1">
      <alignment horizontal="center" vertical="center" wrapText="1"/>
    </xf>
    <xf numFmtId="0" fontId="30" fillId="11" borderId="24" xfId="12" applyFont="1" applyFill="1" applyBorder="1" applyAlignment="1">
      <alignment horizontal="center" wrapText="1"/>
    </xf>
    <xf numFmtId="0" fontId="30" fillId="0" borderId="25" xfId="11" applyFont="1" applyBorder="1" applyAlignment="1">
      <alignment horizontal="center"/>
    </xf>
    <xf numFmtId="1" fontId="31" fillId="6" borderId="19" xfId="11" applyNumberFormat="1" applyFont="1" applyFill="1" applyBorder="1" applyAlignment="1">
      <alignment horizontal="center"/>
    </xf>
    <xf numFmtId="4" fontId="31" fillId="6" borderId="12" xfId="11" applyNumberFormat="1" applyFont="1" applyFill="1" applyBorder="1" applyAlignment="1">
      <alignment horizontal="right"/>
    </xf>
    <xf numFmtId="4" fontId="31" fillId="6" borderId="19" xfId="11" applyNumberFormat="1" applyFont="1" applyFill="1" applyBorder="1" applyAlignment="1">
      <alignment horizontal="right"/>
    </xf>
    <xf numFmtId="4" fontId="31" fillId="6" borderId="26" xfId="11" applyNumberFormat="1" applyFont="1" applyFill="1" applyBorder="1" applyAlignment="1">
      <alignment horizontal="right"/>
    </xf>
    <xf numFmtId="0" fontId="30" fillId="0" borderId="8" xfId="11" applyFont="1" applyBorder="1" applyAlignment="1">
      <alignment horizontal="center"/>
    </xf>
    <xf numFmtId="0" fontId="31" fillId="0" borderId="12" xfId="11" applyFont="1" applyBorder="1" applyAlignment="1">
      <alignment horizontal="left"/>
    </xf>
    <xf numFmtId="1" fontId="31" fillId="0" borderId="12" xfId="11" applyNumberFormat="1" applyFont="1" applyBorder="1" applyAlignment="1">
      <alignment horizontal="center"/>
    </xf>
    <xf numFmtId="4" fontId="31" fillId="0" borderId="9" xfId="11" applyNumberFormat="1" applyFont="1" applyBorder="1" applyAlignment="1">
      <alignment horizontal="right"/>
    </xf>
    <xf numFmtId="1" fontId="32" fillId="0" borderId="12" xfId="11" applyNumberFormat="1" applyFont="1" applyBorder="1" applyAlignment="1">
      <alignment horizontal="center"/>
    </xf>
    <xf numFmtId="4" fontId="28" fillId="0" borderId="0" xfId="11" applyNumberFormat="1" applyFont="1"/>
    <xf numFmtId="0" fontId="30" fillId="0" borderId="28" xfId="11" applyFont="1" applyBorder="1" applyAlignment="1">
      <alignment horizontal="center"/>
    </xf>
    <xf numFmtId="0" fontId="31" fillId="0" borderId="17" xfId="11" applyFont="1" applyBorder="1" applyAlignment="1">
      <alignment horizontal="left"/>
    </xf>
    <xf numFmtId="1" fontId="32" fillId="0" borderId="17" xfId="11" applyNumberFormat="1" applyFont="1" applyBorder="1" applyAlignment="1">
      <alignment horizontal="center"/>
    </xf>
    <xf numFmtId="4" fontId="31" fillId="6" borderId="17" xfId="11" applyNumberFormat="1" applyFont="1" applyFill="1" applyBorder="1" applyAlignment="1">
      <alignment horizontal="right"/>
    </xf>
    <xf numFmtId="4" fontId="31" fillId="0" borderId="29" xfId="11" applyNumberFormat="1" applyFont="1" applyBorder="1" applyAlignment="1">
      <alignment horizontal="right"/>
    </xf>
    <xf numFmtId="0" fontId="33" fillId="0" borderId="0" xfId="11" applyFont="1"/>
    <xf numFmtId="165" fontId="0" fillId="0" borderId="0" xfId="2" applyFont="1"/>
    <xf numFmtId="0" fontId="0" fillId="0" borderId="0" xfId="0" applyAlignment="1">
      <alignment horizontal="left"/>
    </xf>
    <xf numFmtId="0" fontId="37" fillId="0" borderId="0" xfId="0" applyFont="1" applyAlignment="1">
      <alignment horizontal="justify" vertical="center"/>
    </xf>
    <xf numFmtId="0" fontId="16" fillId="0" borderId="0" xfId="0" applyFont="1" applyAlignment="1">
      <alignment horizontal="justify" vertical="center"/>
    </xf>
    <xf numFmtId="0" fontId="13" fillId="12" borderId="0" xfId="0" applyFont="1" applyFill="1" applyAlignment="1">
      <alignment horizontal="center" vertical="center"/>
    </xf>
    <xf numFmtId="0" fontId="39" fillId="0" borderId="0" xfId="0" applyFont="1"/>
    <xf numFmtId="0" fontId="13" fillId="12" borderId="0" xfId="0" applyFont="1" applyFill="1" applyAlignment="1">
      <alignment horizontal="justify" vertical="center"/>
    </xf>
    <xf numFmtId="0" fontId="13" fillId="4" borderId="0" xfId="0" applyFont="1" applyFill="1" applyAlignment="1">
      <alignment horizontal="justify" vertical="center"/>
    </xf>
    <xf numFmtId="0" fontId="39" fillId="0" borderId="0" xfId="0" applyFont="1" applyAlignment="1">
      <alignment horizontal="right"/>
    </xf>
    <xf numFmtId="0" fontId="13" fillId="0" borderId="0" xfId="0" applyFont="1" applyAlignment="1">
      <alignment horizontal="justify" vertical="center"/>
    </xf>
    <xf numFmtId="0" fontId="12" fillId="0" borderId="0" xfId="0" applyFont="1" applyAlignment="1">
      <alignment horizontal="left"/>
    </xf>
    <xf numFmtId="0" fontId="4" fillId="2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43" fontId="2" fillId="0" borderId="12" xfId="1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43" fontId="2" fillId="2" borderId="12" xfId="1" applyFont="1" applyFill="1" applyBorder="1" applyAlignment="1">
      <alignment horizontal="right" wrapText="1"/>
    </xf>
    <xf numFmtId="43" fontId="2" fillId="2" borderId="12" xfId="0" applyNumberFormat="1" applyFont="1" applyFill="1" applyBorder="1"/>
    <xf numFmtId="0" fontId="0" fillId="0" borderId="12" xfId="0" applyBorder="1" applyAlignment="1">
      <alignment horizontal="left" vertical="center" wrapText="1" indent="2"/>
    </xf>
    <xf numFmtId="43" fontId="2" fillId="0" borderId="12" xfId="1" applyFont="1" applyFill="1" applyBorder="1" applyAlignment="1">
      <alignment horizontal="right" wrapText="1"/>
    </xf>
    <xf numFmtId="43" fontId="2" fillId="0" borderId="12" xfId="1" applyFont="1" applyFill="1" applyBorder="1" applyAlignment="1">
      <alignment horizontal="right"/>
    </xf>
    <xf numFmtId="0" fontId="0" fillId="2" borderId="0" xfId="0" applyFill="1"/>
    <xf numFmtId="43" fontId="2" fillId="2" borderId="12" xfId="1" applyFont="1" applyFill="1" applyBorder="1" applyAlignment="1">
      <alignment vertical="center" wrapText="1"/>
    </xf>
    <xf numFmtId="0" fontId="4" fillId="0" borderId="12" xfId="0" applyFont="1" applyBorder="1" applyAlignment="1">
      <alignment horizontal="left" vertical="center" wrapText="1"/>
    </xf>
    <xf numFmtId="0" fontId="4" fillId="14" borderId="12" xfId="0" applyFont="1" applyFill="1" applyBorder="1" applyAlignment="1">
      <alignment vertical="center" wrapText="1"/>
    </xf>
    <xf numFmtId="0" fontId="4" fillId="14" borderId="12" xfId="0" applyFont="1" applyFill="1" applyBorder="1" applyAlignment="1">
      <alignment horizontal="center" vertical="center" wrapText="1"/>
    </xf>
    <xf numFmtId="43" fontId="2" fillId="0" borderId="12" xfId="1" applyFont="1" applyBorder="1" applyAlignment="1">
      <alignment horizontal="left" vertical="center" wrapText="1"/>
    </xf>
    <xf numFmtId="43" fontId="0" fillId="2" borderId="12" xfId="1" applyFont="1" applyFill="1" applyBorder="1"/>
    <xf numFmtId="43" fontId="2" fillId="2" borderId="12" xfId="1" applyFont="1" applyFill="1" applyBorder="1" applyAlignment="1">
      <alignment wrapText="1"/>
    </xf>
    <xf numFmtId="43" fontId="0" fillId="0" borderId="12" xfId="1" applyFont="1" applyBorder="1" applyAlignment="1">
      <alignment vertical="center" wrapText="1"/>
    </xf>
    <xf numFmtId="0" fontId="2" fillId="15" borderId="12" xfId="0" applyFont="1" applyFill="1" applyBorder="1" applyAlignment="1">
      <alignment horizontal="left" vertical="center" wrapText="1"/>
    </xf>
    <xf numFmtId="43" fontId="2" fillId="15" borderId="12" xfId="1" applyFont="1" applyFill="1" applyBorder="1" applyAlignment="1">
      <alignment horizontal="center" vertical="center" wrapText="1"/>
    </xf>
    <xf numFmtId="43" fontId="2" fillId="0" borderId="12" xfId="1" applyFont="1" applyBorder="1" applyAlignment="1">
      <alignment vertical="center" wrapText="1"/>
    </xf>
    <xf numFmtId="0" fontId="4" fillId="14" borderId="12" xfId="0" applyFont="1" applyFill="1" applyBorder="1" applyAlignment="1">
      <alignment horizontal="left" vertical="center" wrapText="1"/>
    </xf>
    <xf numFmtId="43" fontId="2" fillId="14" borderId="12" xfId="1" applyFont="1" applyFill="1" applyBorder="1" applyAlignment="1">
      <alignment horizontal="center" vertical="center" wrapText="1"/>
    </xf>
    <xf numFmtId="168" fontId="2" fillId="0" borderId="12" xfId="0" applyNumberFormat="1" applyFont="1" applyBorder="1" applyAlignment="1">
      <alignment vertical="center" wrapText="1"/>
    </xf>
    <xf numFmtId="168" fontId="0" fillId="0" borderId="12" xfId="0" applyNumberFormat="1" applyBorder="1" applyAlignment="1">
      <alignment vertical="center" wrapText="1"/>
    </xf>
    <xf numFmtId="168" fontId="2" fillId="15" borderId="12" xfId="0" applyNumberFormat="1" applyFont="1" applyFill="1" applyBorder="1" applyAlignment="1">
      <alignment horizontal="center" vertical="center" wrapText="1"/>
    </xf>
    <xf numFmtId="168" fontId="2" fillId="14" borderId="12" xfId="0" applyNumberFormat="1" applyFont="1" applyFill="1" applyBorder="1" applyAlignment="1">
      <alignment horizontal="center" vertical="center" wrapText="1"/>
    </xf>
    <xf numFmtId="0" fontId="14" fillId="6" borderId="12" xfId="3" applyFont="1" applyFill="1" applyBorder="1" applyAlignment="1">
      <alignment horizontal="left" wrapText="1"/>
    </xf>
    <xf numFmtId="0" fontId="27" fillId="6" borderId="12" xfId="0" applyFont="1" applyFill="1" applyBorder="1" applyAlignment="1">
      <alignment horizontal="left" vertical="center" wrapText="1" readingOrder="1"/>
    </xf>
    <xf numFmtId="4" fontId="18" fillId="6" borderId="12" xfId="8" applyNumberFormat="1" applyFont="1" applyFill="1" applyBorder="1" applyAlignment="1">
      <alignment horizontal="right" vertical="center" wrapText="1"/>
    </xf>
    <xf numFmtId="4" fontId="29" fillId="12" borderId="31" xfId="11" applyNumberFormat="1" applyFont="1" applyFill="1" applyBorder="1" applyAlignment="1">
      <alignment horizontal="center" vertical="center" wrapText="1"/>
    </xf>
    <xf numFmtId="4" fontId="29" fillId="12" borderId="32" xfId="11" applyNumberFormat="1" applyFont="1" applyFill="1" applyBorder="1" applyAlignment="1">
      <alignment horizontal="center" vertical="center" wrapText="1"/>
    </xf>
    <xf numFmtId="0" fontId="40" fillId="6" borderId="19" xfId="11" applyFont="1" applyFill="1" applyBorder="1" applyAlignment="1">
      <alignment horizontal="left"/>
    </xf>
    <xf numFmtId="0" fontId="40" fillId="0" borderId="12" xfId="11" applyFont="1" applyBorder="1" applyAlignment="1">
      <alignment horizontal="left"/>
    </xf>
    <xf numFmtId="0" fontId="27" fillId="6" borderId="12" xfId="3" applyFont="1" applyFill="1" applyBorder="1" applyAlignment="1">
      <alignment horizontal="left" wrapText="1"/>
    </xf>
    <xf numFmtId="0" fontId="2" fillId="0" borderId="35" xfId="0" applyFont="1" applyBorder="1"/>
    <xf numFmtId="0" fontId="2" fillId="0" borderId="34" xfId="0" applyFont="1" applyBorder="1"/>
    <xf numFmtId="4" fontId="0" fillId="6" borderId="31" xfId="0" applyNumberFormat="1" applyFill="1" applyBorder="1"/>
    <xf numFmtId="4" fontId="0" fillId="6" borderId="32" xfId="0" applyNumberFormat="1" applyFill="1" applyBorder="1"/>
    <xf numFmtId="0" fontId="2" fillId="0" borderId="36" xfId="0" applyFont="1" applyBorder="1"/>
    <xf numFmtId="43" fontId="0" fillId="6" borderId="10" xfId="1" applyFont="1" applyFill="1" applyBorder="1"/>
    <xf numFmtId="167" fontId="0" fillId="6" borderId="14" xfId="0" applyNumberFormat="1" applyFill="1" applyBorder="1"/>
    <xf numFmtId="43" fontId="1" fillId="0" borderId="10" xfId="1" applyFont="1" applyBorder="1" applyAlignment="1">
      <alignment horizontal="right"/>
    </xf>
    <xf numFmtId="43" fontId="7" fillId="0" borderId="10" xfId="1" applyFont="1" applyFill="1" applyBorder="1" applyAlignment="1">
      <alignment horizontal="right"/>
    </xf>
    <xf numFmtId="43" fontId="0" fillId="0" borderId="10" xfId="1" applyFont="1" applyBorder="1" applyAlignment="1">
      <alignment horizontal="right"/>
    </xf>
    <xf numFmtId="167" fontId="0" fillId="0" borderId="10" xfId="0" applyNumberFormat="1" applyBorder="1" applyAlignment="1">
      <alignment horizontal="right"/>
    </xf>
    <xf numFmtId="167" fontId="0" fillId="0" borderId="14" xfId="0" applyNumberFormat="1" applyBorder="1" applyAlignment="1">
      <alignment horizontal="right"/>
    </xf>
    <xf numFmtId="0" fontId="28" fillId="0" borderId="0" xfId="11" applyFont="1" applyAlignment="1">
      <alignment horizontal="center"/>
    </xf>
    <xf numFmtId="0" fontId="29" fillId="0" borderId="0" xfId="11" applyFont="1" applyAlignment="1">
      <alignment horizontal="center" vertical="center"/>
    </xf>
    <xf numFmtId="0" fontId="25" fillId="0" borderId="0" xfId="3" applyFont="1" applyAlignment="1">
      <alignment wrapText="1"/>
    </xf>
    <xf numFmtId="0" fontId="42" fillId="0" borderId="0" xfId="0" applyFont="1"/>
    <xf numFmtId="0" fontId="43" fillId="0" borderId="0" xfId="0" applyFont="1"/>
    <xf numFmtId="0" fontId="45" fillId="0" borderId="0" xfId="3" applyFont="1"/>
    <xf numFmtId="0" fontId="48" fillId="0" borderId="0" xfId="3" applyFont="1"/>
    <xf numFmtId="0" fontId="48" fillId="0" borderId="0" xfId="3" applyFont="1" applyAlignment="1">
      <alignment horizontal="left"/>
    </xf>
    <xf numFmtId="0" fontId="49" fillId="0" borderId="0" xfId="0" applyFont="1"/>
    <xf numFmtId="0" fontId="7" fillId="0" borderId="0" xfId="3"/>
    <xf numFmtId="17" fontId="45" fillId="0" borderId="0" xfId="3" applyNumberFormat="1" applyFont="1" applyAlignment="1">
      <alignment horizontal="left"/>
    </xf>
    <xf numFmtId="43" fontId="45" fillId="0" borderId="0" xfId="9" applyFont="1" applyFill="1" applyBorder="1" applyAlignment="1"/>
    <xf numFmtId="0" fontId="51" fillId="0" borderId="0" xfId="0" applyFont="1"/>
    <xf numFmtId="0" fontId="50" fillId="0" borderId="0" xfId="3" applyFont="1" applyAlignment="1">
      <alignment horizontal="left"/>
    </xf>
    <xf numFmtId="43" fontId="50" fillId="0" borderId="0" xfId="3" applyNumberFormat="1" applyFont="1"/>
    <xf numFmtId="0" fontId="50" fillId="0" borderId="0" xfId="3" applyFont="1" applyAlignment="1">
      <alignment horizontal="left" vertical="center"/>
    </xf>
    <xf numFmtId="0" fontId="50" fillId="0" borderId="0" xfId="3" applyFont="1" applyAlignment="1">
      <alignment horizontal="center" vertical="center"/>
    </xf>
    <xf numFmtId="4" fontId="45" fillId="0" borderId="0" xfId="3" applyNumberFormat="1" applyFont="1"/>
    <xf numFmtId="43" fontId="45" fillId="0" borderId="0" xfId="3" applyNumberFormat="1" applyFont="1"/>
    <xf numFmtId="169" fontId="45" fillId="0" borderId="0" xfId="3" applyNumberFormat="1" applyFont="1" applyAlignment="1">
      <alignment horizontal="center"/>
    </xf>
    <xf numFmtId="169" fontId="45" fillId="0" borderId="0" xfId="3" applyNumberFormat="1" applyFont="1"/>
    <xf numFmtId="0" fontId="45" fillId="0" borderId="0" xfId="3" applyFont="1" applyAlignment="1">
      <alignment horizontal="left"/>
    </xf>
    <xf numFmtId="0" fontId="45" fillId="0" borderId="0" xfId="3" applyFont="1" applyAlignment="1">
      <alignment horizontal="center"/>
    </xf>
    <xf numFmtId="0" fontId="52" fillId="0" borderId="0" xfId="3" applyFont="1" applyAlignment="1">
      <alignment horizontal="left"/>
    </xf>
    <xf numFmtId="43" fontId="53" fillId="0" borderId="0" xfId="3" applyNumberFormat="1" applyFont="1"/>
    <xf numFmtId="43" fontId="52" fillId="0" borderId="0" xfId="3" applyNumberFormat="1" applyFont="1"/>
    <xf numFmtId="43" fontId="52" fillId="0" borderId="0" xfId="9" applyFont="1" applyFill="1" applyBorder="1" applyAlignment="1"/>
    <xf numFmtId="43" fontId="54" fillId="0" borderId="0" xfId="9" applyFont="1" applyFill="1" applyBorder="1" applyAlignment="1"/>
    <xf numFmtId="0" fontId="54" fillId="0" borderId="0" xfId="3" applyFont="1"/>
    <xf numFmtId="0" fontId="55" fillId="0" borderId="0" xfId="3" applyFont="1" applyAlignment="1">
      <alignment horizontal="left"/>
    </xf>
    <xf numFmtId="3" fontId="45" fillId="0" borderId="0" xfId="3" applyNumberFormat="1" applyFont="1"/>
    <xf numFmtId="17" fontId="56" fillId="0" borderId="0" xfId="3" applyNumberFormat="1" applyFont="1" applyAlignment="1">
      <alignment horizontal="left" vertical="center"/>
    </xf>
    <xf numFmtId="4" fontId="45" fillId="0" borderId="0" xfId="3" applyNumberFormat="1" applyFont="1" applyAlignment="1">
      <alignment horizontal="center" vertical="center"/>
    </xf>
    <xf numFmtId="0" fontId="45" fillId="0" borderId="0" xfId="3" applyFont="1" applyAlignment="1">
      <alignment horizontal="center" vertical="center"/>
    </xf>
    <xf numFmtId="43" fontId="50" fillId="0" borderId="0" xfId="9" applyFont="1" applyFill="1" applyBorder="1" applyAlignment="1"/>
    <xf numFmtId="170" fontId="45" fillId="0" borderId="0" xfId="3" applyNumberFormat="1" applyFont="1"/>
    <xf numFmtId="171" fontId="45" fillId="0" borderId="0" xfId="9" applyNumberFormat="1" applyFont="1" applyFill="1" applyBorder="1" applyAlignment="1"/>
    <xf numFmtId="43" fontId="57" fillId="0" borderId="0" xfId="9" applyFont="1" applyFill="1" applyBorder="1" applyAlignment="1">
      <alignment horizontal="left"/>
    </xf>
    <xf numFmtId="43" fontId="58" fillId="0" borderId="0" xfId="9" applyFont="1" applyFill="1" applyBorder="1" applyAlignment="1">
      <alignment horizontal="left"/>
    </xf>
    <xf numFmtId="17" fontId="56" fillId="0" borderId="0" xfId="3" applyNumberFormat="1" applyFont="1" applyAlignment="1">
      <alignment horizontal="left"/>
    </xf>
    <xf numFmtId="166" fontId="45" fillId="0" borderId="0" xfId="3" applyNumberFormat="1" applyFont="1" applyAlignment="1">
      <alignment horizontal="center"/>
    </xf>
    <xf numFmtId="0" fontId="56" fillId="0" borderId="0" xfId="3" applyFont="1"/>
    <xf numFmtId="172" fontId="45" fillId="0" borderId="0" xfId="3" applyNumberFormat="1" applyFont="1"/>
    <xf numFmtId="165" fontId="45" fillId="0" borderId="0" xfId="3" applyNumberFormat="1" applyFont="1"/>
    <xf numFmtId="171" fontId="54" fillId="0" borderId="0" xfId="9" applyNumberFormat="1" applyFont="1" applyFill="1" applyBorder="1" applyAlignment="1"/>
    <xf numFmtId="171" fontId="54" fillId="0" borderId="0" xfId="3" applyNumberFormat="1" applyFont="1"/>
    <xf numFmtId="171" fontId="45" fillId="0" borderId="0" xfId="3" applyNumberFormat="1" applyFont="1"/>
    <xf numFmtId="165" fontId="45" fillId="0" borderId="0" xfId="9" applyNumberFormat="1" applyFont="1" applyFill="1" applyBorder="1" applyAlignment="1"/>
    <xf numFmtId="17" fontId="45" fillId="0" borderId="0" xfId="3" applyNumberFormat="1" applyFont="1" applyAlignment="1">
      <alignment horizontal="left" vertical="center"/>
    </xf>
    <xf numFmtId="165" fontId="56" fillId="0" borderId="0" xfId="10" applyFont="1" applyFill="1" applyBorder="1" applyAlignment="1">
      <alignment horizontal="center"/>
    </xf>
    <xf numFmtId="170" fontId="56" fillId="0" borderId="0" xfId="3" applyNumberFormat="1" applyFont="1" applyAlignment="1">
      <alignment horizontal="center"/>
    </xf>
    <xf numFmtId="43" fontId="45" fillId="0" borderId="0" xfId="9" applyFont="1" applyFill="1" applyBorder="1" applyAlignment="1">
      <alignment horizontal="center"/>
    </xf>
    <xf numFmtId="43" fontId="45" fillId="0" borderId="0" xfId="9" applyFont="1" applyFill="1" applyBorder="1" applyAlignment="1">
      <alignment vertical="center"/>
    </xf>
    <xf numFmtId="0" fontId="45" fillId="0" borderId="0" xfId="3" applyFont="1" applyAlignment="1">
      <alignment vertical="center"/>
    </xf>
    <xf numFmtId="4" fontId="45" fillId="0" borderId="0" xfId="3" applyNumberFormat="1" applyFont="1" applyAlignment="1">
      <alignment vertical="center"/>
    </xf>
    <xf numFmtId="2" fontId="45" fillId="0" borderId="0" xfId="3" applyNumberFormat="1" applyFont="1"/>
    <xf numFmtId="4" fontId="45" fillId="0" borderId="0" xfId="9" applyNumberFormat="1" applyFont="1" applyFill="1" applyBorder="1" applyAlignment="1"/>
    <xf numFmtId="172" fontId="45" fillId="0" borderId="0" xfId="9" applyNumberFormat="1" applyFont="1" applyFill="1" applyBorder="1" applyAlignment="1"/>
    <xf numFmtId="166" fontId="45" fillId="0" borderId="0" xfId="9" applyNumberFormat="1" applyFont="1" applyFill="1" applyBorder="1" applyAlignment="1">
      <alignment horizontal="right"/>
    </xf>
    <xf numFmtId="173" fontId="45" fillId="0" borderId="0" xfId="3" applyNumberFormat="1" applyFont="1"/>
    <xf numFmtId="17" fontId="59" fillId="0" borderId="0" xfId="3" applyNumberFormat="1" applyFont="1" applyAlignment="1">
      <alignment horizontal="left"/>
    </xf>
    <xf numFmtId="43" fontId="59" fillId="0" borderId="0" xfId="9" applyFont="1" applyFill="1" applyBorder="1" applyAlignment="1"/>
    <xf numFmtId="17" fontId="54" fillId="0" borderId="0" xfId="3" applyNumberFormat="1" applyFont="1" applyAlignment="1">
      <alignment horizontal="left"/>
    </xf>
    <xf numFmtId="43" fontId="54" fillId="0" borderId="0" xfId="3" applyNumberFormat="1" applyFont="1"/>
    <xf numFmtId="0" fontId="2" fillId="0" borderId="0" xfId="0" applyFont="1" applyAlignment="1">
      <alignment horizontal="center"/>
    </xf>
    <xf numFmtId="0" fontId="60" fillId="16" borderId="37" xfId="3" applyFont="1" applyFill="1" applyBorder="1" applyAlignment="1">
      <alignment horizontal="center" vertical="center"/>
    </xf>
    <xf numFmtId="0" fontId="60" fillId="16" borderId="38" xfId="3" applyFont="1" applyFill="1" applyBorder="1" applyAlignment="1">
      <alignment horizontal="center" vertical="center"/>
    </xf>
    <xf numFmtId="0" fontId="60" fillId="16" borderId="21" xfId="3" applyFont="1" applyFill="1" applyBorder="1" applyAlignment="1">
      <alignment horizontal="center" vertical="center"/>
    </xf>
    <xf numFmtId="0" fontId="60" fillId="16" borderId="23" xfId="3" applyFont="1" applyFill="1" applyBorder="1" applyAlignment="1">
      <alignment horizontal="center" vertical="center"/>
    </xf>
    <xf numFmtId="0" fontId="61" fillId="0" borderId="27" xfId="3" applyFont="1" applyBorder="1"/>
    <xf numFmtId="0" fontId="61" fillId="0" borderId="6" xfId="3" applyFont="1" applyBorder="1" applyAlignment="1">
      <alignment horizontal="left" vertical="center"/>
    </xf>
    <xf numFmtId="43" fontId="61" fillId="0" borderId="6" xfId="5" applyFont="1" applyFill="1" applyBorder="1" applyAlignment="1">
      <alignment horizontal="left" vertical="center"/>
    </xf>
    <xf numFmtId="43" fontId="61" fillId="0" borderId="6" xfId="5" applyFont="1" applyFill="1" applyBorder="1" applyAlignment="1"/>
    <xf numFmtId="43" fontId="61" fillId="0" borderId="17" xfId="5" applyFont="1" applyFill="1" applyBorder="1" applyAlignment="1">
      <alignment horizontal="left" vertical="center"/>
    </xf>
    <xf numFmtId="43" fontId="61" fillId="0" borderId="19" xfId="5" applyFont="1" applyFill="1" applyBorder="1" applyAlignment="1">
      <alignment horizontal="left" vertical="center"/>
    </xf>
    <xf numFmtId="0" fontId="61" fillId="0" borderId="39" xfId="3" applyFont="1" applyBorder="1"/>
    <xf numFmtId="0" fontId="61" fillId="0" borderId="17" xfId="3" applyFont="1" applyBorder="1" applyAlignment="1">
      <alignment horizontal="left" vertical="center"/>
    </xf>
    <xf numFmtId="43" fontId="60" fillId="5" borderId="22" xfId="5" applyFont="1" applyFill="1" applyBorder="1" applyAlignment="1">
      <alignment horizontal="center" vertical="center"/>
    </xf>
    <xf numFmtId="0" fontId="61" fillId="0" borderId="25" xfId="3" applyFont="1" applyBorder="1"/>
    <xf numFmtId="0" fontId="61" fillId="0" borderId="19" xfId="3" applyFont="1" applyBorder="1" applyAlignment="1">
      <alignment horizontal="left" vertical="center"/>
    </xf>
    <xf numFmtId="0" fontId="61" fillId="0" borderId="8" xfId="3" applyFont="1" applyBorder="1"/>
    <xf numFmtId="0" fontId="61" fillId="0" borderId="12" xfId="3" applyFont="1" applyBorder="1" applyAlignment="1">
      <alignment horizontal="left" vertical="center"/>
    </xf>
    <xf numFmtId="0" fontId="61" fillId="0" borderId="28" xfId="3" applyFont="1" applyBorder="1"/>
    <xf numFmtId="43" fontId="60" fillId="3" borderId="24" xfId="5" applyFont="1" applyFill="1" applyBorder="1" applyAlignment="1">
      <alignment horizontal="center"/>
    </xf>
    <xf numFmtId="0" fontId="62" fillId="0" borderId="0" xfId="0" applyFont="1"/>
    <xf numFmtId="17" fontId="8" fillId="0" borderId="0" xfId="3" applyNumberFormat="1" applyFont="1" applyAlignment="1">
      <alignment horizontal="left"/>
    </xf>
    <xf numFmtId="43" fontId="8" fillId="0" borderId="0" xfId="9" applyFont="1" applyFill="1" applyBorder="1" applyAlignment="1"/>
    <xf numFmtId="0" fontId="8" fillId="0" borderId="0" xfId="3" applyFont="1"/>
    <xf numFmtId="0" fontId="26" fillId="10" borderId="24" xfId="3" applyFont="1" applyFill="1" applyBorder="1" applyAlignment="1">
      <alignment horizontal="center" vertical="center" wrapText="1"/>
    </xf>
    <xf numFmtId="0" fontId="26" fillId="10" borderId="24" xfId="3" applyFont="1" applyFill="1" applyBorder="1" applyAlignment="1">
      <alignment horizontal="center" wrapText="1"/>
    </xf>
    <xf numFmtId="4" fontId="26" fillId="10" borderId="24" xfId="3" applyNumberFormat="1" applyFont="1" applyFill="1" applyBorder="1" applyAlignment="1">
      <alignment horizontal="center" vertical="center" wrapText="1"/>
    </xf>
    <xf numFmtId="0" fontId="65" fillId="0" borderId="12" xfId="0" applyFont="1" applyBorder="1"/>
    <xf numFmtId="0" fontId="0" fillId="0" borderId="0" xfId="0" applyAlignment="1">
      <alignment horizontal="center" wrapText="1"/>
    </xf>
    <xf numFmtId="43" fontId="0" fillId="0" borderId="10" xfId="1" applyFont="1" applyBorder="1"/>
    <xf numFmtId="0" fontId="66" fillId="0" borderId="0" xfId="0" applyFont="1" applyAlignment="1">
      <alignment horizontal="center"/>
    </xf>
    <xf numFmtId="0" fontId="41" fillId="0" borderId="0" xfId="0" applyFont="1"/>
    <xf numFmtId="0" fontId="2" fillId="0" borderId="0" xfId="0" applyFont="1"/>
    <xf numFmtId="43" fontId="0" fillId="0" borderId="0" xfId="1" applyFont="1"/>
    <xf numFmtId="0" fontId="31" fillId="6" borderId="19" xfId="11" applyFont="1" applyFill="1" applyBorder="1" applyAlignment="1">
      <alignment horizontal="center"/>
    </xf>
    <xf numFmtId="0" fontId="31" fillId="0" borderId="12" xfId="11" applyFont="1" applyBorder="1" applyAlignment="1">
      <alignment horizontal="center"/>
    </xf>
    <xf numFmtId="0" fontId="69" fillId="6" borderId="25" xfId="3" applyFont="1" applyFill="1" applyBorder="1" applyAlignment="1">
      <alignment horizontal="center" wrapText="1"/>
    </xf>
    <xf numFmtId="9" fontId="70" fillId="6" borderId="26" xfId="6" applyFont="1" applyFill="1" applyBorder="1" applyAlignment="1">
      <alignment horizontal="right" wrapText="1"/>
    </xf>
    <xf numFmtId="0" fontId="40" fillId="6" borderId="19" xfId="3" applyFont="1" applyFill="1" applyBorder="1" applyAlignment="1">
      <alignment horizontal="left" wrapText="1"/>
    </xf>
    <xf numFmtId="0" fontId="40" fillId="9" borderId="24" xfId="3" applyFont="1" applyFill="1" applyBorder="1" applyAlignment="1">
      <alignment horizontal="left" wrapText="1"/>
    </xf>
    <xf numFmtId="0" fontId="40" fillId="9" borderId="24" xfId="0" applyFont="1" applyFill="1" applyBorder="1" applyAlignment="1">
      <alignment horizontal="center"/>
    </xf>
    <xf numFmtId="4" fontId="71" fillId="9" borderId="24" xfId="3" applyNumberFormat="1" applyFont="1" applyFill="1" applyBorder="1" applyAlignment="1">
      <alignment horizontal="right" wrapText="1"/>
    </xf>
    <xf numFmtId="0" fontId="40" fillId="6" borderId="19" xfId="0" applyFont="1" applyFill="1" applyBorder="1" applyAlignment="1">
      <alignment horizontal="left" vertical="center" wrapText="1" readingOrder="1"/>
    </xf>
    <xf numFmtId="0" fontId="65" fillId="0" borderId="12" xfId="0" applyFont="1" applyBorder="1" applyAlignment="1">
      <alignment horizontal="center"/>
    </xf>
    <xf numFmtId="43" fontId="65" fillId="0" borderId="12" xfId="1" applyFont="1" applyBorder="1" applyAlignment="1">
      <alignment horizontal="right"/>
    </xf>
    <xf numFmtId="43" fontId="65" fillId="0" borderId="12" xfId="1" applyFont="1" applyBorder="1" applyAlignment="1">
      <alignment horizontal="center"/>
    </xf>
    <xf numFmtId="166" fontId="65" fillId="0" borderId="12" xfId="8" applyFont="1" applyBorder="1" applyAlignment="1">
      <alignment horizontal="center"/>
    </xf>
    <xf numFmtId="0" fontId="72" fillId="0" borderId="12" xfId="0" applyFont="1" applyBorder="1" applyAlignment="1">
      <alignment horizontal="left"/>
    </xf>
    <xf numFmtId="166" fontId="65" fillId="6" borderId="12" xfId="8" applyFont="1" applyFill="1" applyBorder="1" applyAlignment="1">
      <alignment horizontal="center"/>
    </xf>
    <xf numFmtId="43" fontId="65" fillId="6" borderId="12" xfId="1" applyFont="1" applyFill="1" applyBorder="1" applyAlignment="1">
      <alignment horizontal="right"/>
    </xf>
    <xf numFmtId="0" fontId="65" fillId="6" borderId="12" xfId="0" applyFont="1" applyFill="1" applyBorder="1" applyAlignment="1">
      <alignment horizontal="left"/>
    </xf>
    <xf numFmtId="0" fontId="72" fillId="6" borderId="12" xfId="0" applyFont="1" applyFill="1" applyBorder="1" applyAlignment="1">
      <alignment horizontal="left"/>
    </xf>
    <xf numFmtId="0" fontId="65" fillId="6" borderId="12" xfId="0" applyFont="1" applyFill="1" applyBorder="1"/>
    <xf numFmtId="0" fontId="65" fillId="6" borderId="12" xfId="0" applyFont="1" applyFill="1" applyBorder="1" applyAlignment="1">
      <alignment horizontal="left" wrapText="1"/>
    </xf>
    <xf numFmtId="43" fontId="68" fillId="0" borderId="12" xfId="1" applyFont="1" applyBorder="1" applyAlignment="1">
      <alignment horizontal="center"/>
    </xf>
    <xf numFmtId="0" fontId="0" fillId="7" borderId="31" xfId="0" applyFill="1" applyBorder="1"/>
    <xf numFmtId="164" fontId="0" fillId="0" borderId="0" xfId="0" applyNumberFormat="1"/>
    <xf numFmtId="0" fontId="65" fillId="0" borderId="0" xfId="0" applyFont="1"/>
    <xf numFmtId="0" fontId="65" fillId="6" borderId="12" xfId="0" applyFont="1" applyFill="1" applyBorder="1" applyAlignment="1">
      <alignment horizontal="center"/>
    </xf>
    <xf numFmtId="0" fontId="0" fillId="0" borderId="24" xfId="0" applyBorder="1"/>
    <xf numFmtId="0" fontId="0" fillId="0" borderId="29" xfId="0" applyBorder="1"/>
    <xf numFmtId="0" fontId="0" fillId="0" borderId="7" xfId="0" applyBorder="1"/>
    <xf numFmtId="0" fontId="0" fillId="0" borderId="41" xfId="0" applyBorder="1"/>
    <xf numFmtId="0" fontId="0" fillId="0" borderId="17" xfId="0" applyBorder="1"/>
    <xf numFmtId="0" fontId="2" fillId="0" borderId="24" xfId="0" applyFont="1" applyBorder="1"/>
    <xf numFmtId="165" fontId="0" fillId="0" borderId="24" xfId="2" applyFont="1" applyBorder="1"/>
    <xf numFmtId="0" fontId="2" fillId="0" borderId="42" xfId="0" applyFont="1" applyBorder="1"/>
    <xf numFmtId="164" fontId="75" fillId="0" borderId="0" xfId="0" applyNumberFormat="1" applyFont="1"/>
    <xf numFmtId="43" fontId="1" fillId="0" borderId="10" xfId="1" applyFont="1" applyBorder="1"/>
    <xf numFmtId="0" fontId="64" fillId="0" borderId="0" xfId="0" applyFont="1"/>
    <xf numFmtId="0" fontId="64" fillId="6" borderId="12" xfId="0" applyFont="1" applyFill="1" applyBorder="1" applyAlignment="1">
      <alignment horizontal="center" wrapText="1"/>
    </xf>
    <xf numFmtId="0" fontId="64" fillId="0" borderId="12" xfId="0" applyFont="1" applyBorder="1" applyAlignment="1">
      <alignment horizontal="left"/>
    </xf>
    <xf numFmtId="0" fontId="64" fillId="0" borderId="12" xfId="0" applyFont="1" applyBorder="1" applyAlignment="1">
      <alignment horizontal="left" wrapText="1"/>
    </xf>
    <xf numFmtId="0" fontId="64" fillId="6" borderId="12" xfId="0" applyFont="1" applyFill="1" applyBorder="1" applyAlignment="1">
      <alignment horizontal="left" wrapText="1"/>
    </xf>
    <xf numFmtId="0" fontId="64" fillId="0" borderId="12" xfId="0" applyFont="1" applyBorder="1"/>
    <xf numFmtId="0" fontId="64" fillId="6" borderId="12" xfId="0" applyFont="1" applyFill="1" applyBorder="1" applyAlignment="1">
      <alignment horizontal="left"/>
    </xf>
    <xf numFmtId="0" fontId="65" fillId="0" borderId="12" xfId="0" applyFont="1" applyBorder="1" applyAlignment="1">
      <alignment horizontal="left"/>
    </xf>
    <xf numFmtId="0" fontId="67" fillId="0" borderId="0" xfId="0" applyFont="1"/>
    <xf numFmtId="0" fontId="65" fillId="0" borderId="0" xfId="0" applyFont="1" applyAlignment="1">
      <alignment wrapText="1"/>
    </xf>
    <xf numFmtId="0" fontId="0" fillId="0" borderId="0" xfId="0" applyAlignment="1">
      <alignment horizontal="center"/>
    </xf>
    <xf numFmtId="4" fontId="76" fillId="9" borderId="24" xfId="3" applyNumberFormat="1" applyFont="1" applyFill="1" applyBorder="1" applyAlignment="1">
      <alignment horizontal="right" wrapText="1"/>
    </xf>
    <xf numFmtId="4" fontId="68" fillId="6" borderId="12" xfId="0" applyNumberFormat="1" applyFont="1" applyFill="1" applyBorder="1" applyAlignment="1">
      <alignment horizontal="center"/>
    </xf>
    <xf numFmtId="0" fontId="64" fillId="6" borderId="12" xfId="0" applyFont="1" applyFill="1" applyBorder="1"/>
    <xf numFmtId="43" fontId="0" fillId="0" borderId="7" xfId="1" applyFont="1" applyBorder="1"/>
    <xf numFmtId="0" fontId="6" fillId="0" borderId="10" xfId="0" applyFont="1" applyBorder="1"/>
    <xf numFmtId="43" fontId="61" fillId="6" borderId="17" xfId="5" applyFont="1" applyFill="1" applyBorder="1" applyAlignment="1">
      <alignment horizontal="left" vertical="center"/>
    </xf>
    <xf numFmtId="43" fontId="1" fillId="6" borderId="12" xfId="5" applyFont="1" applyFill="1" applyBorder="1"/>
    <xf numFmtId="0" fontId="65" fillId="0" borderId="19" xfId="0" applyFont="1" applyBorder="1"/>
    <xf numFmtId="43" fontId="65" fillId="6" borderId="12" xfId="1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vertical="center"/>
    </xf>
    <xf numFmtId="0" fontId="80" fillId="18" borderId="43" xfId="0" applyFont="1" applyFill="1" applyBorder="1" applyAlignment="1">
      <alignment horizontal="center" vertical="center"/>
    </xf>
    <xf numFmtId="0" fontId="80" fillId="18" borderId="18" xfId="0" applyFont="1" applyFill="1" applyBorder="1" applyAlignment="1">
      <alignment horizontal="center" vertical="center"/>
    </xf>
    <xf numFmtId="0" fontId="80" fillId="18" borderId="47" xfId="0" applyFont="1" applyFill="1" applyBorder="1" applyAlignment="1">
      <alignment horizontal="center" vertical="center"/>
    </xf>
    <xf numFmtId="0" fontId="80" fillId="18" borderId="45" xfId="0" applyFont="1" applyFill="1" applyBorder="1" applyAlignment="1">
      <alignment horizontal="center" vertical="center"/>
    </xf>
    <xf numFmtId="0" fontId="80" fillId="7" borderId="11" xfId="0" applyFont="1" applyFill="1" applyBorder="1" applyAlignment="1">
      <alignment horizontal="center" vertical="center" wrapText="1"/>
    </xf>
    <xf numFmtId="0" fontId="80" fillId="7" borderId="12" xfId="0" applyFont="1" applyFill="1" applyBorder="1" applyAlignment="1">
      <alignment horizontal="center" vertical="center" wrapText="1"/>
    </xf>
    <xf numFmtId="0" fontId="7" fillId="7" borderId="25" xfId="0" applyFont="1" applyFill="1" applyBorder="1" applyAlignment="1">
      <alignment horizontal="center" vertical="center"/>
    </xf>
    <xf numFmtId="0" fontId="81" fillId="6" borderId="19" xfId="0" applyFont="1" applyFill="1" applyBorder="1" applyAlignment="1">
      <alignment horizontal="left" vertical="center" wrapText="1"/>
    </xf>
    <xf numFmtId="0" fontId="81" fillId="6" borderId="19" xfId="0" applyFont="1" applyFill="1" applyBorder="1" applyAlignment="1">
      <alignment vertical="center" wrapText="1"/>
    </xf>
    <xf numFmtId="0" fontId="0" fillId="0" borderId="19" xfId="0" applyBorder="1"/>
    <xf numFmtId="0" fontId="7" fillId="6" borderId="19" xfId="0" applyFont="1" applyFill="1" applyBorder="1" applyAlignment="1">
      <alignment horizontal="center" vertical="center" wrapText="1"/>
    </xf>
    <xf numFmtId="14" fontId="0" fillId="0" borderId="19" xfId="0" applyNumberFormat="1" applyBorder="1"/>
    <xf numFmtId="4" fontId="7" fillId="6" borderId="26" xfId="0" applyNumberFormat="1" applyFont="1" applyFill="1" applyBorder="1" applyAlignment="1">
      <alignment horizontal="center" vertical="center"/>
    </xf>
    <xf numFmtId="4" fontId="7" fillId="7" borderId="11" xfId="0" applyNumberFormat="1" applyFont="1" applyFill="1" applyBorder="1" applyAlignment="1">
      <alignment horizontal="right" vertical="center"/>
    </xf>
    <xf numFmtId="4" fontId="7" fillId="7" borderId="12" xfId="0" applyNumberFormat="1" applyFont="1" applyFill="1" applyBorder="1" applyAlignment="1">
      <alignment horizontal="right" vertical="center"/>
    </xf>
    <xf numFmtId="2" fontId="7" fillId="7" borderId="12" xfId="0" applyNumberFormat="1" applyFont="1" applyFill="1" applyBorder="1" applyAlignment="1">
      <alignment horizontal="right" vertical="center"/>
    </xf>
    <xf numFmtId="0" fontId="7" fillId="7" borderId="12" xfId="0" applyFont="1" applyFill="1" applyBorder="1" applyAlignment="1">
      <alignment horizontal="center" vertical="center"/>
    </xf>
    <xf numFmtId="0" fontId="80" fillId="7" borderId="34" xfId="0" applyFont="1" applyFill="1" applyBorder="1" applyAlignment="1">
      <alignment horizontal="center" vertical="center"/>
    </xf>
    <xf numFmtId="0" fontId="80" fillId="19" borderId="31" xfId="0" applyFont="1" applyFill="1" applyBorder="1" applyAlignment="1">
      <alignment vertical="center" wrapText="1"/>
    </xf>
    <xf numFmtId="4" fontId="80" fillId="19" borderId="32" xfId="0" applyNumberFormat="1" applyFont="1" applyFill="1" applyBorder="1" applyAlignment="1">
      <alignment horizontal="right" vertical="center"/>
    </xf>
    <xf numFmtId="4" fontId="80" fillId="7" borderId="11" xfId="0" applyNumberFormat="1" applyFont="1" applyFill="1" applyBorder="1" applyAlignment="1">
      <alignment horizontal="right" vertical="center"/>
    </xf>
    <xf numFmtId="4" fontId="80" fillId="7" borderId="12" xfId="0" applyNumberFormat="1" applyFont="1" applyFill="1" applyBorder="1" applyAlignment="1">
      <alignment horizontal="right" vertical="center"/>
    </xf>
    <xf numFmtId="0" fontId="82" fillId="0" borderId="0" xfId="0" applyFont="1"/>
    <xf numFmtId="4" fontId="7" fillId="0" borderId="0" xfId="0" applyNumberFormat="1" applyFont="1"/>
    <xf numFmtId="0" fontId="24" fillId="0" borderId="0" xfId="0" applyFont="1" applyAlignment="1">
      <alignment horizontal="center"/>
    </xf>
    <xf numFmtId="0" fontId="85" fillId="6" borderId="12" xfId="0" applyFont="1" applyFill="1" applyBorder="1" applyAlignment="1">
      <alignment horizontal="left" vertical="center" wrapText="1" readingOrder="1"/>
    </xf>
    <xf numFmtId="4" fontId="86" fillId="6" borderId="19" xfId="3" applyNumberFormat="1" applyFont="1" applyFill="1" applyBorder="1" applyAlignment="1">
      <alignment horizontal="right" wrapText="1"/>
    </xf>
    <xf numFmtId="4" fontId="87" fillId="6" borderId="19" xfId="3" applyNumberFormat="1" applyFont="1" applyFill="1" applyBorder="1" applyAlignment="1">
      <alignment horizontal="right" wrapText="1"/>
    </xf>
    <xf numFmtId="39" fontId="87" fillId="6" borderId="19" xfId="3" applyNumberFormat="1" applyFont="1" applyFill="1" applyBorder="1" applyAlignment="1">
      <alignment horizontal="right" wrapText="1"/>
    </xf>
    <xf numFmtId="43" fontId="0" fillId="0" borderId="14" xfId="1" applyFont="1" applyBorder="1"/>
    <xf numFmtId="0" fontId="0" fillId="0" borderId="8" xfId="0" applyBorder="1" applyAlignment="1">
      <alignment wrapText="1"/>
    </xf>
    <xf numFmtId="0" fontId="0" fillId="6" borderId="0" xfId="0" applyFill="1"/>
    <xf numFmtId="0" fontId="88" fillId="0" borderId="0" xfId="0" applyFont="1" applyAlignment="1">
      <alignment vertical="center"/>
    </xf>
    <xf numFmtId="0" fontId="89" fillId="0" borderId="0" xfId="0" applyFont="1" applyAlignment="1">
      <alignment horizontal="justify" vertical="center"/>
    </xf>
    <xf numFmtId="14" fontId="12" fillId="0" borderId="0" xfId="0" applyNumberFormat="1" applyFont="1" applyAlignment="1">
      <alignment horizontal="justify" vertical="center"/>
    </xf>
    <xf numFmtId="0" fontId="90" fillId="0" borderId="0" xfId="0" applyFont="1" applyAlignment="1">
      <alignment horizontal="center" vertical="center"/>
    </xf>
    <xf numFmtId="0" fontId="72" fillId="6" borderId="0" xfId="0" applyFont="1" applyFill="1"/>
    <xf numFmtId="0" fontId="93" fillId="6" borderId="12" xfId="0" applyFont="1" applyFill="1" applyBorder="1"/>
    <xf numFmtId="165" fontId="93" fillId="6" borderId="9" xfId="0" applyNumberFormat="1" applyFont="1" applyFill="1" applyBorder="1"/>
    <xf numFmtId="0" fontId="67" fillId="0" borderId="12" xfId="0" applyFont="1" applyBorder="1"/>
    <xf numFmtId="4" fontId="0" fillId="6" borderId="0" xfId="0" applyNumberFormat="1" applyFill="1"/>
    <xf numFmtId="174" fontId="73" fillId="6" borderId="8" xfId="0" applyNumberFormat="1" applyFont="1" applyFill="1" applyBorder="1" applyAlignment="1">
      <alignment horizontal="right" vertical="top" wrapText="1"/>
    </xf>
    <xf numFmtId="0" fontId="72" fillId="0" borderId="19" xfId="0" applyFont="1" applyBorder="1"/>
    <xf numFmtId="174" fontId="92" fillId="6" borderId="8" xfId="0" applyNumberFormat="1" applyFont="1" applyFill="1" applyBorder="1" applyAlignment="1">
      <alignment horizontal="right" vertical="top" wrapText="1"/>
    </xf>
    <xf numFmtId="0" fontId="92" fillId="0" borderId="11" xfId="0" applyFont="1" applyBorder="1" applyAlignment="1">
      <alignment horizontal="left" vertical="top" wrapText="1"/>
    </xf>
    <xf numFmtId="0" fontId="72" fillId="0" borderId="12" xfId="0" applyFont="1" applyBorder="1"/>
    <xf numFmtId="0" fontId="34" fillId="0" borderId="12" xfId="0" applyFont="1" applyBorder="1"/>
    <xf numFmtId="0" fontId="93" fillId="6" borderId="12" xfId="0" applyFont="1" applyFill="1" applyBorder="1" applyAlignment="1">
      <alignment horizontal="left"/>
    </xf>
    <xf numFmtId="0" fontId="93" fillId="23" borderId="12" xfId="0" applyFont="1" applyFill="1" applyBorder="1" applyAlignment="1">
      <alignment horizontal="left"/>
    </xf>
    <xf numFmtId="0" fontId="93" fillId="0" borderId="12" xfId="0" applyFont="1" applyBorder="1" applyAlignment="1">
      <alignment horizontal="left"/>
    </xf>
    <xf numFmtId="174" fontId="93" fillId="0" borderId="8" xfId="0" applyNumberFormat="1" applyFont="1" applyBorder="1"/>
    <xf numFmtId="0" fontId="93" fillId="0" borderId="8" xfId="0" applyFont="1" applyBorder="1"/>
    <xf numFmtId="165" fontId="4" fillId="0" borderId="9" xfId="0" applyNumberFormat="1" applyFont="1" applyBorder="1"/>
    <xf numFmtId="0" fontId="93" fillId="6" borderId="12" xfId="0" applyFont="1" applyFill="1" applyBorder="1" applyAlignment="1">
      <alignment horizontal="right"/>
    </xf>
    <xf numFmtId="0" fontId="93" fillId="0" borderId="12" xfId="0" applyFont="1" applyBorder="1"/>
    <xf numFmtId="0" fontId="2" fillId="0" borderId="12" xfId="0" applyFont="1" applyBorder="1"/>
    <xf numFmtId="0" fontId="0" fillId="25" borderId="12" xfId="0" applyFill="1" applyBorder="1"/>
    <xf numFmtId="165" fontId="0" fillId="25" borderId="9" xfId="0" applyNumberFormat="1" applyFill="1" applyBorder="1"/>
    <xf numFmtId="165" fontId="2" fillId="6" borderId="9" xfId="0" applyNumberFormat="1" applyFont="1" applyFill="1" applyBorder="1"/>
    <xf numFmtId="0" fontId="93" fillId="6" borderId="12" xfId="0" applyFont="1" applyFill="1" applyBorder="1" applyAlignment="1">
      <alignment horizontal="center"/>
    </xf>
    <xf numFmtId="165" fontId="80" fillId="6" borderId="9" xfId="0" applyNumberFormat="1" applyFont="1" applyFill="1" applyBorder="1"/>
    <xf numFmtId="0" fontId="0" fillId="6" borderId="12" xfId="0" applyFill="1" applyBorder="1"/>
    <xf numFmtId="0" fontId="93" fillId="26" borderId="12" xfId="0" applyFont="1" applyFill="1" applyBorder="1" applyAlignment="1">
      <alignment horizontal="left"/>
    </xf>
    <xf numFmtId="0" fontId="2" fillId="26" borderId="12" xfId="0" applyFont="1" applyFill="1" applyBorder="1"/>
    <xf numFmtId="165" fontId="2" fillId="26" borderId="9" xfId="0" applyNumberFormat="1" applyFont="1" applyFill="1" applyBorder="1"/>
    <xf numFmtId="165" fontId="2" fillId="0" borderId="9" xfId="0" applyNumberFormat="1" applyFont="1" applyBorder="1"/>
    <xf numFmtId="0" fontId="93" fillId="27" borderId="12" xfId="0" applyFont="1" applyFill="1" applyBorder="1" applyAlignment="1">
      <alignment horizontal="left"/>
    </xf>
    <xf numFmtId="0" fontId="67" fillId="28" borderId="12" xfId="0" applyFont="1" applyFill="1" applyBorder="1"/>
    <xf numFmtId="174" fontId="93" fillId="6" borderId="8" xfId="0" applyNumberFormat="1" applyFont="1" applyFill="1" applyBorder="1" applyAlignment="1">
      <alignment wrapText="1"/>
    </xf>
    <xf numFmtId="0" fontId="65" fillId="6" borderId="12" xfId="0" applyFont="1" applyFill="1" applyBorder="1" applyAlignment="1">
      <alignment horizontal="center" wrapText="1"/>
    </xf>
    <xf numFmtId="165" fontId="64" fillId="6" borderId="9" xfId="0" applyNumberFormat="1" applyFont="1" applyFill="1" applyBorder="1"/>
    <xf numFmtId="165" fontId="4" fillId="17" borderId="9" xfId="0" applyNumberFormat="1" applyFont="1" applyFill="1" applyBorder="1"/>
    <xf numFmtId="0" fontId="1" fillId="0" borderId="12" xfId="0" applyFont="1" applyBorder="1"/>
    <xf numFmtId="0" fontId="67" fillId="23" borderId="12" xfId="0" applyFont="1" applyFill="1" applyBorder="1"/>
    <xf numFmtId="0" fontId="93" fillId="29" borderId="8" xfId="0" applyFont="1" applyFill="1" applyBorder="1"/>
    <xf numFmtId="0" fontId="0" fillId="29" borderId="12" xfId="0" applyFill="1" applyBorder="1"/>
    <xf numFmtId="0" fontId="93" fillId="29" borderId="12" xfId="0" applyFont="1" applyFill="1" applyBorder="1" applyAlignment="1">
      <alignment horizontal="left"/>
    </xf>
    <xf numFmtId="0" fontId="2" fillId="29" borderId="12" xfId="0" applyFont="1" applyFill="1" applyBorder="1" applyAlignment="1">
      <alignment horizontal="center"/>
    </xf>
    <xf numFmtId="165" fontId="0" fillId="29" borderId="9" xfId="0" applyNumberFormat="1" applyFill="1" applyBorder="1"/>
    <xf numFmtId="165" fontId="72" fillId="0" borderId="9" xfId="0" applyNumberFormat="1" applyFont="1" applyBorder="1"/>
    <xf numFmtId="0" fontId="93" fillId="30" borderId="12" xfId="0" applyFont="1" applyFill="1" applyBorder="1" applyAlignment="1">
      <alignment horizontal="left"/>
    </xf>
    <xf numFmtId="0" fontId="93" fillId="31" borderId="12" xfId="0" applyFont="1" applyFill="1" applyBorder="1" applyAlignment="1">
      <alignment horizontal="left"/>
    </xf>
    <xf numFmtId="0" fontId="93" fillId="32" borderId="8" xfId="0" applyFont="1" applyFill="1" applyBorder="1"/>
    <xf numFmtId="0" fontId="0" fillId="32" borderId="12" xfId="0" applyFill="1" applyBorder="1"/>
    <xf numFmtId="0" fontId="93" fillId="32" borderId="12" xfId="0" applyFont="1" applyFill="1" applyBorder="1"/>
    <xf numFmtId="0" fontId="2" fillId="32" borderId="12" xfId="0" applyFont="1" applyFill="1" applyBorder="1" applyAlignment="1">
      <alignment horizontal="center"/>
    </xf>
    <xf numFmtId="165" fontId="0" fillId="32" borderId="9" xfId="0" applyNumberFormat="1" applyFill="1" applyBorder="1"/>
    <xf numFmtId="165" fontId="93" fillId="0" borderId="9" xfId="0" applyNumberFormat="1" applyFont="1" applyBorder="1"/>
    <xf numFmtId="0" fontId="93" fillId="26" borderId="8" xfId="0" applyFont="1" applyFill="1" applyBorder="1"/>
    <xf numFmtId="0" fontId="2" fillId="26" borderId="12" xfId="0" applyFont="1" applyFill="1" applyBorder="1" applyAlignment="1">
      <alignment horizontal="center"/>
    </xf>
    <xf numFmtId="0" fontId="93" fillId="25" borderId="8" xfId="0" applyFont="1" applyFill="1" applyBorder="1" applyAlignment="1">
      <alignment wrapText="1"/>
    </xf>
    <xf numFmtId="0" fontId="93" fillId="25" borderId="12" xfId="0" applyFont="1" applyFill="1" applyBorder="1" applyAlignment="1">
      <alignment horizontal="left"/>
    </xf>
    <xf numFmtId="0" fontId="2" fillId="25" borderId="12" xfId="0" applyFont="1" applyFill="1" applyBorder="1" applyAlignment="1">
      <alignment horizontal="center" wrapText="1"/>
    </xf>
    <xf numFmtId="0" fontId="95" fillId="0" borderId="0" xfId="0" applyFont="1"/>
    <xf numFmtId="0" fontId="67" fillId="6" borderId="12" xfId="0" applyFont="1" applyFill="1" applyBorder="1" applyAlignment="1">
      <alignment horizontal="center" wrapText="1"/>
    </xf>
    <xf numFmtId="165" fontId="96" fillId="6" borderId="9" xfId="0" applyNumberFormat="1" applyFont="1" applyFill="1" applyBorder="1"/>
    <xf numFmtId="165" fontId="94" fillId="6" borderId="9" xfId="0" applyNumberFormat="1" applyFont="1" applyFill="1" applyBorder="1"/>
    <xf numFmtId="0" fontId="2" fillId="6" borderId="12" xfId="0" applyFont="1" applyFill="1" applyBorder="1" applyAlignment="1">
      <alignment horizontal="center" wrapText="1"/>
    </xf>
    <xf numFmtId="174" fontId="93" fillId="23" borderId="8" xfId="0" applyNumberFormat="1" applyFont="1" applyFill="1" applyBorder="1" applyAlignment="1">
      <alignment wrapText="1"/>
    </xf>
    <xf numFmtId="174" fontId="93" fillId="17" borderId="8" xfId="0" applyNumberFormat="1" applyFont="1" applyFill="1" applyBorder="1" applyAlignment="1">
      <alignment wrapText="1"/>
    </xf>
    <xf numFmtId="0" fontId="93" fillId="17" borderId="12" xfId="0" applyFont="1" applyFill="1" applyBorder="1"/>
    <xf numFmtId="0" fontId="1" fillId="6" borderId="12" xfId="0" applyFont="1" applyFill="1" applyBorder="1" applyAlignment="1">
      <alignment horizontal="center" wrapText="1"/>
    </xf>
    <xf numFmtId="174" fontId="93" fillId="9" borderId="8" xfId="0" applyNumberFormat="1" applyFont="1" applyFill="1" applyBorder="1" applyAlignment="1">
      <alignment wrapText="1"/>
    </xf>
    <xf numFmtId="0" fontId="93" fillId="9" borderId="12" xfId="0" applyFont="1" applyFill="1" applyBorder="1"/>
    <xf numFmtId="0" fontId="2" fillId="33" borderId="12" xfId="0" applyFont="1" applyFill="1" applyBorder="1"/>
    <xf numFmtId="174" fontId="72" fillId="6" borderId="8" xfId="0" applyNumberFormat="1" applyFont="1" applyFill="1" applyBorder="1" applyAlignment="1">
      <alignment wrapText="1"/>
    </xf>
    <xf numFmtId="0" fontId="2" fillId="34" borderId="12" xfId="0" applyFont="1" applyFill="1" applyBorder="1"/>
    <xf numFmtId="165" fontId="80" fillId="34" borderId="9" xfId="0" applyNumberFormat="1" applyFont="1" applyFill="1" applyBorder="1"/>
    <xf numFmtId="14" fontId="93" fillId="6" borderId="8" xfId="0" applyNumberFormat="1" applyFont="1" applyFill="1" applyBorder="1" applyAlignment="1">
      <alignment wrapText="1"/>
    </xf>
    <xf numFmtId="0" fontId="93" fillId="6" borderId="8" xfId="0" applyFont="1" applyFill="1" applyBorder="1" applyAlignment="1">
      <alignment wrapText="1"/>
    </xf>
    <xf numFmtId="0" fontId="4" fillId="0" borderId="12" xfId="0" applyFont="1" applyBorder="1"/>
    <xf numFmtId="174" fontId="93" fillId="34" borderId="8" xfId="0" applyNumberFormat="1" applyFont="1" applyFill="1" applyBorder="1" applyAlignment="1">
      <alignment wrapText="1"/>
    </xf>
    <xf numFmtId="0" fontId="93" fillId="34" borderId="12" xfId="0" applyFont="1" applyFill="1" applyBorder="1"/>
    <xf numFmtId="0" fontId="67" fillId="34" borderId="12" xfId="0" applyFont="1" applyFill="1" applyBorder="1" applyAlignment="1">
      <alignment horizontal="center" wrapText="1"/>
    </xf>
    <xf numFmtId="0" fontId="67" fillId="32" borderId="12" xfId="0" applyFont="1" applyFill="1" applyBorder="1" applyAlignment="1">
      <alignment horizontal="center" wrapText="1"/>
    </xf>
    <xf numFmtId="174" fontId="93" fillId="31" borderId="8" xfId="0" applyNumberFormat="1" applyFont="1" applyFill="1" applyBorder="1" applyAlignment="1">
      <alignment wrapText="1"/>
    </xf>
    <xf numFmtId="0" fontId="93" fillId="22" borderId="8" xfId="0" applyFont="1" applyFill="1" applyBorder="1" applyAlignment="1">
      <alignment wrapText="1"/>
    </xf>
    <xf numFmtId="0" fontId="0" fillId="22" borderId="12" xfId="0" applyFill="1" applyBorder="1"/>
    <xf numFmtId="0" fontId="93" fillId="22" borderId="12" xfId="0" applyFont="1" applyFill="1" applyBorder="1"/>
    <xf numFmtId="0" fontId="2" fillId="22" borderId="12" xfId="0" applyFont="1" applyFill="1" applyBorder="1" applyAlignment="1">
      <alignment horizontal="center" wrapText="1"/>
    </xf>
    <xf numFmtId="165" fontId="0" fillId="22" borderId="9" xfId="0" applyNumberFormat="1" applyFill="1" applyBorder="1"/>
    <xf numFmtId="165" fontId="65" fillId="6" borderId="9" xfId="0" applyNumberFormat="1" applyFont="1" applyFill="1" applyBorder="1"/>
    <xf numFmtId="165" fontId="65" fillId="0" borderId="9" xfId="0" applyNumberFormat="1" applyFont="1" applyBorder="1"/>
    <xf numFmtId="174" fontId="93" fillId="35" borderId="8" xfId="0" applyNumberFormat="1" applyFont="1" applyFill="1" applyBorder="1" applyAlignment="1">
      <alignment wrapText="1"/>
    </xf>
    <xf numFmtId="0" fontId="93" fillId="35" borderId="12" xfId="0" applyFont="1" applyFill="1" applyBorder="1"/>
    <xf numFmtId="0" fontId="67" fillId="35" borderId="12" xfId="0" applyFont="1" applyFill="1" applyBorder="1" applyAlignment="1">
      <alignment horizontal="center" wrapText="1"/>
    </xf>
    <xf numFmtId="0" fontId="2" fillId="35" borderId="12" xfId="0" applyFont="1" applyFill="1" applyBorder="1"/>
    <xf numFmtId="174" fontId="93" fillId="33" borderId="8" xfId="0" applyNumberFormat="1" applyFont="1" applyFill="1" applyBorder="1" applyAlignment="1">
      <alignment wrapText="1"/>
    </xf>
    <xf numFmtId="0" fontId="93" fillId="33" borderId="12" xfId="0" applyFont="1" applyFill="1" applyBorder="1" applyAlignment="1">
      <alignment horizontal="left"/>
    </xf>
    <xf numFmtId="0" fontId="2" fillId="33" borderId="12" xfId="0" applyFont="1" applyFill="1" applyBorder="1" applyAlignment="1">
      <alignment horizontal="center" wrapText="1"/>
    </xf>
    <xf numFmtId="0" fontId="1" fillId="33" borderId="12" xfId="0" applyFont="1" applyFill="1" applyBorder="1"/>
    <xf numFmtId="165" fontId="2" fillId="33" borderId="9" xfId="0" applyNumberFormat="1" applyFont="1" applyFill="1" applyBorder="1"/>
    <xf numFmtId="0" fontId="5" fillId="0" borderId="12" xfId="0" applyFont="1" applyBorder="1"/>
    <xf numFmtId="0" fontId="67" fillId="17" borderId="12" xfId="0" applyFont="1" applyFill="1" applyBorder="1" applyAlignment="1">
      <alignment horizontal="center" wrapText="1"/>
    </xf>
    <xf numFmtId="174" fontId="93" fillId="24" borderId="8" xfId="0" applyNumberFormat="1" applyFont="1" applyFill="1" applyBorder="1" applyAlignment="1">
      <alignment wrapText="1"/>
    </xf>
    <xf numFmtId="0" fontId="93" fillId="24" borderId="12" xfId="0" applyFont="1" applyFill="1" applyBorder="1"/>
    <xf numFmtId="0" fontId="67" fillId="24" borderId="12" xfId="0" applyFont="1" applyFill="1" applyBorder="1" applyAlignment="1">
      <alignment horizontal="center" wrapText="1"/>
    </xf>
    <xf numFmtId="174" fontId="93" fillId="30" borderId="8" xfId="0" applyNumberFormat="1" applyFont="1" applyFill="1" applyBorder="1" applyAlignment="1">
      <alignment wrapText="1"/>
    </xf>
    <xf numFmtId="165" fontId="4" fillId="30" borderId="9" xfId="0" applyNumberFormat="1" applyFont="1" applyFill="1" applyBorder="1"/>
    <xf numFmtId="165" fontId="1" fillId="6" borderId="9" xfId="0" applyNumberFormat="1" applyFont="1" applyFill="1" applyBorder="1" applyAlignment="1">
      <alignment horizontal="left"/>
    </xf>
    <xf numFmtId="0" fontId="67" fillId="6" borderId="12" xfId="0" applyFont="1" applyFill="1" applyBorder="1" applyAlignment="1">
      <alignment horizontal="left" wrapText="1"/>
    </xf>
    <xf numFmtId="165" fontId="2" fillId="6" borderId="9" xfId="0" applyNumberFormat="1" applyFont="1" applyFill="1" applyBorder="1" applyAlignment="1">
      <alignment horizontal="left"/>
    </xf>
    <xf numFmtId="0" fontId="4" fillId="6" borderId="12" xfId="0" applyFont="1" applyFill="1" applyBorder="1" applyAlignment="1">
      <alignment horizontal="left"/>
    </xf>
    <xf numFmtId="0" fontId="67" fillId="17" borderId="12" xfId="0" applyFont="1" applyFill="1" applyBorder="1" applyAlignment="1">
      <alignment horizontal="left" wrapText="1"/>
    </xf>
    <xf numFmtId="0" fontId="67" fillId="17" borderId="12" xfId="0" applyFont="1" applyFill="1" applyBorder="1" applyAlignment="1">
      <alignment horizontal="left"/>
    </xf>
    <xf numFmtId="165" fontId="2" fillId="17" borderId="9" xfId="0" applyNumberFormat="1" applyFont="1" applyFill="1" applyBorder="1" applyAlignment="1">
      <alignment horizontal="left"/>
    </xf>
    <xf numFmtId="174" fontId="93" fillId="28" borderId="8" xfId="0" applyNumberFormat="1" applyFont="1" applyFill="1" applyBorder="1" applyAlignment="1">
      <alignment wrapText="1"/>
    </xf>
    <xf numFmtId="0" fontId="93" fillId="28" borderId="12" xfId="0" applyFont="1" applyFill="1" applyBorder="1"/>
    <xf numFmtId="0" fontId="2" fillId="6" borderId="12" xfId="0" applyFont="1" applyFill="1" applyBorder="1"/>
    <xf numFmtId="174" fontId="93" fillId="27" borderId="8" xfId="0" applyNumberFormat="1" applyFont="1" applyFill="1" applyBorder="1" applyAlignment="1">
      <alignment wrapText="1"/>
    </xf>
    <xf numFmtId="0" fontId="67" fillId="27" borderId="12" xfId="0" applyFont="1" applyFill="1" applyBorder="1" applyAlignment="1">
      <alignment horizontal="left" wrapText="1"/>
    </xf>
    <xf numFmtId="0" fontId="67" fillId="27" borderId="12" xfId="0" applyFont="1" applyFill="1" applyBorder="1" applyAlignment="1">
      <alignment horizontal="left"/>
    </xf>
    <xf numFmtId="165" fontId="2" fillId="27" borderId="9" xfId="0" applyNumberFormat="1" applyFont="1" applyFill="1" applyBorder="1" applyAlignment="1">
      <alignment horizontal="left"/>
    </xf>
    <xf numFmtId="165" fontId="64" fillId="6" borderId="9" xfId="0" applyNumberFormat="1" applyFont="1" applyFill="1" applyBorder="1" applyAlignment="1">
      <alignment horizontal="left"/>
    </xf>
    <xf numFmtId="0" fontId="74" fillId="6" borderId="12" xfId="0" applyFont="1" applyFill="1" applyBorder="1" applyAlignment="1">
      <alignment horizontal="center" wrapText="1"/>
    </xf>
    <xf numFmtId="0" fontId="67" fillId="28" borderId="12" xfId="0" applyFont="1" applyFill="1" applyBorder="1" applyAlignment="1">
      <alignment horizontal="center" wrapText="1"/>
    </xf>
    <xf numFmtId="165" fontId="67" fillId="35" borderId="9" xfId="0" applyNumberFormat="1" applyFont="1" applyFill="1" applyBorder="1"/>
    <xf numFmtId="165" fontId="64" fillId="0" borderId="9" xfId="0" applyNumberFormat="1" applyFont="1" applyBorder="1"/>
    <xf numFmtId="0" fontId="93" fillId="33" borderId="12" xfId="0" applyFont="1" applyFill="1" applyBorder="1"/>
    <xf numFmtId="0" fontId="67" fillId="33" borderId="12" xfId="0" applyFont="1" applyFill="1" applyBorder="1" applyAlignment="1">
      <alignment horizontal="center" wrapText="1"/>
    </xf>
    <xf numFmtId="165" fontId="67" fillId="33" borderId="9" xfId="0" applyNumberFormat="1" applyFont="1" applyFill="1" applyBorder="1"/>
    <xf numFmtId="0" fontId="65" fillId="30" borderId="12" xfId="0" applyFont="1" applyFill="1" applyBorder="1" applyAlignment="1">
      <alignment horizontal="center" wrapText="1"/>
    </xf>
    <xf numFmtId="0" fontId="1" fillId="30" borderId="12" xfId="0" applyFont="1" applyFill="1" applyBorder="1"/>
    <xf numFmtId="174" fontId="93" fillId="36" borderId="8" xfId="0" applyNumberFormat="1" applyFont="1" applyFill="1" applyBorder="1" applyAlignment="1">
      <alignment wrapText="1"/>
    </xf>
    <xf numFmtId="0" fontId="93" fillId="36" borderId="12" xfId="0" applyFont="1" applyFill="1" applyBorder="1"/>
    <xf numFmtId="0" fontId="67" fillId="36" borderId="12" xfId="0" applyFont="1" applyFill="1" applyBorder="1" applyAlignment="1">
      <alignment horizontal="center" wrapText="1"/>
    </xf>
    <xf numFmtId="0" fontId="2" fillId="36" borderId="12" xfId="0" applyFont="1" applyFill="1" applyBorder="1"/>
    <xf numFmtId="165" fontId="2" fillId="36" borderId="9" xfId="0" applyNumberFormat="1" applyFont="1" applyFill="1" applyBorder="1"/>
    <xf numFmtId="0" fontId="93" fillId="32" borderId="12" xfId="0" applyFont="1" applyFill="1" applyBorder="1" applyAlignment="1">
      <alignment horizontal="left"/>
    </xf>
    <xf numFmtId="0" fontId="67" fillId="9" borderId="12" xfId="0" applyFont="1" applyFill="1" applyBorder="1" applyAlignment="1">
      <alignment horizontal="center" wrapText="1"/>
    </xf>
    <xf numFmtId="0" fontId="67" fillId="23" borderId="12" xfId="0" applyFont="1" applyFill="1" applyBorder="1" applyAlignment="1">
      <alignment horizontal="center" wrapText="1"/>
    </xf>
    <xf numFmtId="165" fontId="4" fillId="23" borderId="9" xfId="0" applyNumberFormat="1" applyFont="1" applyFill="1" applyBorder="1"/>
    <xf numFmtId="0" fontId="74" fillId="0" borderId="12" xfId="0" applyFont="1" applyBorder="1"/>
    <xf numFmtId="165" fontId="67" fillId="28" borderId="9" xfId="0" applyNumberFormat="1" applyFont="1" applyFill="1" applyBorder="1"/>
    <xf numFmtId="165" fontId="67" fillId="0" borderId="9" xfId="0" applyNumberFormat="1" applyFont="1" applyBorder="1"/>
    <xf numFmtId="0" fontId="4" fillId="9" borderId="12" xfId="0" applyFont="1" applyFill="1" applyBorder="1"/>
    <xf numFmtId="165" fontId="4" fillId="9" borderId="9" xfId="0" applyNumberFormat="1" applyFont="1" applyFill="1" applyBorder="1"/>
    <xf numFmtId="0" fontId="67" fillId="31" borderId="12" xfId="0" applyFont="1" applyFill="1" applyBorder="1" applyAlignment="1">
      <alignment horizontal="center" wrapText="1"/>
    </xf>
    <xf numFmtId="0" fontId="67" fillId="31" borderId="12" xfId="0" applyFont="1" applyFill="1" applyBorder="1"/>
    <xf numFmtId="165" fontId="67" fillId="31" borderId="9" xfId="0" applyNumberFormat="1" applyFont="1" applyFill="1" applyBorder="1"/>
    <xf numFmtId="0" fontId="67" fillId="24" borderId="12" xfId="0" applyFont="1" applyFill="1" applyBorder="1"/>
    <xf numFmtId="165" fontId="67" fillId="24" borderId="9" xfId="0" applyNumberFormat="1" applyFont="1" applyFill="1" applyBorder="1"/>
    <xf numFmtId="0" fontId="4" fillId="17" borderId="12" xfId="0" applyFont="1" applyFill="1" applyBorder="1"/>
    <xf numFmtId="174" fontId="72" fillId="32" borderId="8" xfId="0" applyNumberFormat="1" applyFont="1" applyFill="1" applyBorder="1" applyAlignment="1">
      <alignment wrapText="1"/>
    </xf>
    <xf numFmtId="0" fontId="4" fillId="32" borderId="12" xfId="0" applyFont="1" applyFill="1" applyBorder="1"/>
    <xf numFmtId="165" fontId="4" fillId="32" borderId="9" xfId="0" applyNumberFormat="1" applyFont="1" applyFill="1" applyBorder="1"/>
    <xf numFmtId="174" fontId="72" fillId="17" borderId="8" xfId="0" applyNumberFormat="1" applyFont="1" applyFill="1" applyBorder="1" applyAlignment="1">
      <alignment wrapText="1"/>
    </xf>
    <xf numFmtId="174" fontId="72" fillId="6" borderId="8" xfId="0" applyNumberFormat="1" applyFont="1" applyFill="1" applyBorder="1" applyAlignment="1">
      <alignment horizontal="center" wrapText="1"/>
    </xf>
    <xf numFmtId="174" fontId="72" fillId="5" borderId="8" xfId="0" applyNumberFormat="1" applyFont="1" applyFill="1" applyBorder="1" applyAlignment="1">
      <alignment wrapText="1"/>
    </xf>
    <xf numFmtId="0" fontId="93" fillId="5" borderId="12" xfId="0" applyFont="1" applyFill="1" applyBorder="1" applyAlignment="1">
      <alignment horizontal="left"/>
    </xf>
    <xf numFmtId="0" fontId="67" fillId="5" borderId="12" xfId="0" applyFont="1" applyFill="1" applyBorder="1" applyAlignment="1">
      <alignment horizontal="center" wrapText="1"/>
    </xf>
    <xf numFmtId="0" fontId="4" fillId="5" borderId="12" xfId="0" applyFont="1" applyFill="1" applyBorder="1"/>
    <xf numFmtId="165" fontId="4" fillId="5" borderId="9" xfId="0" applyNumberFormat="1" applyFont="1" applyFill="1" applyBorder="1"/>
    <xf numFmtId="165" fontId="65" fillId="0" borderId="9" xfId="0" applyNumberFormat="1" applyFont="1" applyBorder="1" applyAlignment="1">
      <alignment horizontal="center"/>
    </xf>
    <xf numFmtId="165" fontId="65" fillId="6" borderId="0" xfId="0" applyNumberFormat="1" applyFont="1" applyFill="1"/>
    <xf numFmtId="0" fontId="72" fillId="0" borderId="0" xfId="0" applyFont="1"/>
    <xf numFmtId="0" fontId="72" fillId="0" borderId="0" xfId="0" applyFont="1" applyAlignment="1">
      <alignment horizontal="center"/>
    </xf>
    <xf numFmtId="0" fontId="93" fillId="0" borderId="0" xfId="0" applyFont="1" applyAlignment="1">
      <alignment horizontal="left"/>
    </xf>
    <xf numFmtId="0" fontId="72" fillId="0" borderId="0" xfId="0" applyFont="1" applyAlignment="1">
      <alignment horizontal="left"/>
    </xf>
    <xf numFmtId="0" fontId="97" fillId="0" borderId="0" xfId="0" applyFont="1"/>
    <xf numFmtId="0" fontId="98" fillId="0" borderId="0" xfId="0" applyFont="1" applyAlignment="1">
      <alignment horizontal="left"/>
    </xf>
    <xf numFmtId="0" fontId="93" fillId="0" borderId="0" xfId="0" applyFont="1"/>
    <xf numFmtId="0" fontId="1" fillId="0" borderId="0" xfId="0" applyFont="1"/>
    <xf numFmtId="0" fontId="75" fillId="0" borderId="0" xfId="0" applyFont="1"/>
    <xf numFmtId="0" fontId="75" fillId="0" borderId="0" xfId="0" applyFont="1" applyAlignment="1">
      <alignment horizontal="left"/>
    </xf>
    <xf numFmtId="166" fontId="65" fillId="0" borderId="12" xfId="8" applyFont="1" applyBorder="1" applyAlignment="1">
      <alignment horizontal="right"/>
    </xf>
    <xf numFmtId="0" fontId="2" fillId="0" borderId="0" xfId="0" applyFont="1" applyAlignment="1">
      <alignment horizontal="left"/>
    </xf>
    <xf numFmtId="166" fontId="99" fillId="0" borderId="12" xfId="8" applyFont="1" applyBorder="1" applyAlignment="1">
      <alignment horizontal="center" vertical="center" wrapText="1"/>
    </xf>
    <xf numFmtId="0" fontId="75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91" fillId="20" borderId="6" xfId="0" applyFont="1" applyFill="1" applyBorder="1" applyAlignment="1">
      <alignment horizontal="center" vertical="center" wrapText="1"/>
    </xf>
    <xf numFmtId="0" fontId="65" fillId="0" borderId="0" xfId="0" applyFont="1" applyAlignment="1">
      <alignment horizontal="center" wrapText="1"/>
    </xf>
    <xf numFmtId="43" fontId="6" fillId="6" borderId="10" xfId="1" applyFont="1" applyFill="1" applyBorder="1"/>
    <xf numFmtId="0" fontId="26" fillId="0" borderId="0" xfId="0" applyFont="1"/>
    <xf numFmtId="0" fontId="100" fillId="0" borderId="0" xfId="0" applyFont="1" applyAlignment="1">
      <alignment horizontal="center"/>
    </xf>
    <xf numFmtId="174" fontId="0" fillId="0" borderId="12" xfId="0" applyNumberFormat="1" applyBorder="1"/>
    <xf numFmtId="0" fontId="0" fillId="5" borderId="31" xfId="0" applyFill="1" applyBorder="1"/>
    <xf numFmtId="0" fontId="0" fillId="0" borderId="3" xfId="0" applyBorder="1"/>
    <xf numFmtId="0" fontId="93" fillId="13" borderId="8" xfId="0" applyFont="1" applyFill="1" applyBorder="1"/>
    <xf numFmtId="0" fontId="0" fillId="13" borderId="12" xfId="0" applyFill="1" applyBorder="1"/>
    <xf numFmtId="0" fontId="93" fillId="13" borderId="12" xfId="0" applyFont="1" applyFill="1" applyBorder="1"/>
    <xf numFmtId="0" fontId="2" fillId="13" borderId="12" xfId="0" applyFont="1" applyFill="1" applyBorder="1" applyAlignment="1">
      <alignment horizontal="center"/>
    </xf>
    <xf numFmtId="165" fontId="0" fillId="13" borderId="9" xfId="0" applyNumberFormat="1" applyFill="1" applyBorder="1"/>
    <xf numFmtId="166" fontId="103" fillId="0" borderId="0" xfId="0" applyNumberFormat="1" applyFont="1"/>
    <xf numFmtId="0" fontId="102" fillId="0" borderId="0" xfId="0" applyFont="1"/>
    <xf numFmtId="0" fontId="0" fillId="0" borderId="13" xfId="0" applyBorder="1"/>
    <xf numFmtId="43" fontId="0" fillId="0" borderId="13" xfId="1" applyFont="1" applyBorder="1"/>
    <xf numFmtId="0" fontId="0" fillId="0" borderId="52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6" xfId="0" applyBorder="1" applyAlignment="1">
      <alignment horizontal="center"/>
    </xf>
    <xf numFmtId="0" fontId="4" fillId="2" borderId="44" xfId="0" applyFont="1" applyFill="1" applyBorder="1" applyAlignment="1">
      <alignment horizontal="center"/>
    </xf>
    <xf numFmtId="0" fontId="4" fillId="2" borderId="46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3" borderId="54" xfId="0" applyFont="1" applyFill="1" applyBorder="1"/>
    <xf numFmtId="0" fontId="4" fillId="3" borderId="45" xfId="0" applyFont="1" applyFill="1" applyBorder="1" applyAlignment="1">
      <alignment wrapText="1"/>
    </xf>
    <xf numFmtId="0" fontId="4" fillId="3" borderId="46" xfId="0" applyFont="1" applyFill="1" applyBorder="1" applyAlignment="1">
      <alignment wrapText="1"/>
    </xf>
    <xf numFmtId="14" fontId="64" fillId="0" borderId="12" xfId="0" applyNumberFormat="1" applyFont="1" applyBorder="1" applyAlignment="1">
      <alignment horizontal="right"/>
    </xf>
    <xf numFmtId="49" fontId="64" fillId="6" borderId="12" xfId="0" applyNumberFormat="1" applyFont="1" applyFill="1" applyBorder="1" applyAlignment="1">
      <alignment horizontal="center" wrapText="1"/>
    </xf>
    <xf numFmtId="165" fontId="4" fillId="6" borderId="9" xfId="0" applyNumberFormat="1" applyFont="1" applyFill="1" applyBorder="1"/>
    <xf numFmtId="165" fontId="2" fillId="35" borderId="9" xfId="0" applyNumberFormat="1" applyFont="1" applyFill="1" applyBorder="1"/>
    <xf numFmtId="0" fontId="72" fillId="6" borderId="12" xfId="0" applyFont="1" applyFill="1" applyBorder="1" applyAlignment="1">
      <alignment horizontal="center"/>
    </xf>
    <xf numFmtId="174" fontId="0" fillId="0" borderId="25" xfId="0" applyNumberFormat="1" applyBorder="1"/>
    <xf numFmtId="0" fontId="73" fillId="0" borderId="12" xfId="0" applyFont="1" applyBorder="1" applyAlignment="1">
      <alignment horizontal="center" vertical="top" wrapText="1"/>
    </xf>
    <xf numFmtId="166" fontId="65" fillId="6" borderId="9" xfId="8" applyFont="1" applyFill="1" applyBorder="1" applyAlignment="1">
      <alignment horizontal="right"/>
    </xf>
    <xf numFmtId="166" fontId="65" fillId="0" borderId="9" xfId="8" applyFont="1" applyFill="1" applyBorder="1" applyAlignment="1">
      <alignment horizontal="right"/>
    </xf>
    <xf numFmtId="166" fontId="65" fillId="0" borderId="9" xfId="8" applyFont="1" applyBorder="1" applyAlignment="1">
      <alignment horizontal="right"/>
    </xf>
    <xf numFmtId="0" fontId="0" fillId="25" borderId="12" xfId="0" applyFill="1" applyBorder="1" applyAlignment="1">
      <alignment horizontal="center"/>
    </xf>
    <xf numFmtId="0" fontId="0" fillId="26" borderId="12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29" borderId="12" xfId="0" applyFill="1" applyBorder="1" applyAlignment="1">
      <alignment horizontal="center"/>
    </xf>
    <xf numFmtId="0" fontId="72" fillId="0" borderId="12" xfId="0" applyFont="1" applyBorder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32" borderId="12" xfId="0" applyFill="1" applyBorder="1" applyAlignment="1">
      <alignment horizontal="center"/>
    </xf>
    <xf numFmtId="0" fontId="93" fillId="0" borderId="12" xfId="0" applyFont="1" applyBorder="1" applyAlignment="1">
      <alignment horizontal="center"/>
    </xf>
    <xf numFmtId="0" fontId="0" fillId="34" borderId="12" xfId="0" applyFill="1" applyBorder="1" applyAlignment="1">
      <alignment horizontal="center"/>
    </xf>
    <xf numFmtId="0" fontId="0" fillId="22" borderId="12" xfId="0" applyFill="1" applyBorder="1" applyAlignment="1">
      <alignment horizontal="center"/>
    </xf>
    <xf numFmtId="0" fontId="72" fillId="35" borderId="12" xfId="0" applyFont="1" applyFill="1" applyBorder="1" applyAlignment="1">
      <alignment horizontal="center"/>
    </xf>
    <xf numFmtId="0" fontId="0" fillId="33" borderId="12" xfId="0" applyFill="1" applyBorder="1" applyAlignment="1">
      <alignment horizontal="center"/>
    </xf>
    <xf numFmtId="0" fontId="0" fillId="17" borderId="12" xfId="0" applyFill="1" applyBorder="1" applyAlignment="1">
      <alignment horizontal="center"/>
    </xf>
    <xf numFmtId="0" fontId="0" fillId="27" borderId="12" xfId="0" applyFill="1" applyBorder="1" applyAlignment="1">
      <alignment horizontal="center"/>
    </xf>
    <xf numFmtId="0" fontId="72" fillId="33" borderId="12" xfId="0" applyFont="1" applyFill="1" applyBorder="1" applyAlignment="1">
      <alignment horizontal="center"/>
    </xf>
    <xf numFmtId="0" fontId="72" fillId="30" borderId="12" xfId="0" applyFont="1" applyFill="1" applyBorder="1" applyAlignment="1">
      <alignment horizontal="center"/>
    </xf>
    <xf numFmtId="0" fontId="72" fillId="36" borderId="12" xfId="0" applyFont="1" applyFill="1" applyBorder="1" applyAlignment="1">
      <alignment horizontal="center"/>
    </xf>
    <xf numFmtId="0" fontId="72" fillId="32" borderId="12" xfId="0" applyFont="1" applyFill="1" applyBorder="1" applyAlignment="1">
      <alignment horizontal="center"/>
    </xf>
    <xf numFmtId="0" fontId="72" fillId="23" borderId="12" xfId="0" applyFont="1" applyFill="1" applyBorder="1" applyAlignment="1">
      <alignment horizontal="center"/>
    </xf>
    <xf numFmtId="0" fontId="72" fillId="28" borderId="12" xfId="0" applyFont="1" applyFill="1" applyBorder="1" applyAlignment="1">
      <alignment horizontal="center"/>
    </xf>
    <xf numFmtId="0" fontId="72" fillId="31" borderId="12" xfId="0" applyFont="1" applyFill="1" applyBorder="1" applyAlignment="1">
      <alignment horizontal="center"/>
    </xf>
    <xf numFmtId="0" fontId="72" fillId="24" borderId="12" xfId="0" applyFont="1" applyFill="1" applyBorder="1" applyAlignment="1">
      <alignment horizontal="center"/>
    </xf>
    <xf numFmtId="0" fontId="72" fillId="9" borderId="12" xfId="0" applyFont="1" applyFill="1" applyBorder="1" applyAlignment="1">
      <alignment horizontal="center"/>
    </xf>
    <xf numFmtId="0" fontId="72" fillId="17" borderId="12" xfId="0" applyFont="1" applyFill="1" applyBorder="1" applyAlignment="1">
      <alignment horizontal="center"/>
    </xf>
    <xf numFmtId="0" fontId="72" fillId="5" borderId="12" xfId="0" applyFont="1" applyFill="1" applyBorder="1" applyAlignment="1">
      <alignment horizontal="center"/>
    </xf>
    <xf numFmtId="0" fontId="2" fillId="4" borderId="50" xfId="0" applyFont="1" applyFill="1" applyBorder="1" applyAlignment="1">
      <alignment horizontal="center" vertical="center"/>
    </xf>
    <xf numFmtId="0" fontId="2" fillId="4" borderId="43" xfId="0" applyFont="1" applyFill="1" applyBorder="1" applyAlignment="1">
      <alignment horizontal="center" vertical="center"/>
    </xf>
    <xf numFmtId="0" fontId="2" fillId="4" borderId="43" xfId="0" applyFont="1" applyFill="1" applyBorder="1" applyAlignment="1">
      <alignment horizontal="center" vertical="center" wrapText="1"/>
    </xf>
    <xf numFmtId="1" fontId="0" fillId="0" borderId="6" xfId="0" applyNumberFormat="1" applyBorder="1"/>
    <xf numFmtId="165" fontId="2" fillId="5" borderId="32" xfId="2" applyFont="1" applyFill="1" applyBorder="1"/>
    <xf numFmtId="0" fontId="0" fillId="0" borderId="25" xfId="0" applyBorder="1"/>
    <xf numFmtId="43" fontId="0" fillId="0" borderId="9" xfId="1" applyFont="1" applyBorder="1"/>
    <xf numFmtId="166" fontId="0" fillId="0" borderId="0" xfId="0" applyNumberFormat="1"/>
    <xf numFmtId="0" fontId="0" fillId="0" borderId="6" xfId="0" applyBorder="1"/>
    <xf numFmtId="43" fontId="0" fillId="0" borderId="4" xfId="1" applyFont="1" applyBorder="1"/>
    <xf numFmtId="0" fontId="0" fillId="0" borderId="44" xfId="0" applyBorder="1"/>
    <xf numFmtId="1" fontId="0" fillId="0" borderId="45" xfId="0" applyNumberFormat="1" applyBorder="1"/>
    <xf numFmtId="43" fontId="8" fillId="6" borderId="46" xfId="1" applyFont="1" applyFill="1" applyBorder="1"/>
    <xf numFmtId="165" fontId="2" fillId="7" borderId="32" xfId="2" applyFont="1" applyFill="1" applyBorder="1"/>
    <xf numFmtId="0" fontId="2" fillId="7" borderId="0" xfId="0" applyFont="1" applyFill="1" applyAlignment="1">
      <alignment horizontal="center" vertical="center" wrapText="1"/>
    </xf>
    <xf numFmtId="0" fontId="0" fillId="7" borderId="0" xfId="0" applyFill="1"/>
    <xf numFmtId="43" fontId="2" fillId="7" borderId="0" xfId="0" applyNumberFormat="1" applyFont="1" applyFill="1"/>
    <xf numFmtId="0" fontId="104" fillId="38" borderId="12" xfId="0" applyFont="1" applyFill="1" applyBorder="1" applyAlignment="1">
      <alignment horizontal="center"/>
    </xf>
    <xf numFmtId="0" fontId="104" fillId="38" borderId="20" xfId="0" applyFont="1" applyFill="1" applyBorder="1"/>
    <xf numFmtId="0" fontId="104" fillId="0" borderId="0" xfId="0" applyFont="1"/>
    <xf numFmtId="0" fontId="2" fillId="0" borderId="12" xfId="0" applyFont="1" applyBorder="1" applyAlignment="1">
      <alignment horizontal="center"/>
    </xf>
    <xf numFmtId="4" fontId="2" fillId="0" borderId="12" xfId="0" applyNumberFormat="1" applyFont="1" applyBorder="1" applyAlignment="1">
      <alignment horizontal="center"/>
    </xf>
    <xf numFmtId="0" fontId="64" fillId="0" borderId="17" xfId="0" applyFont="1" applyBorder="1"/>
    <xf numFmtId="0" fontId="67" fillId="4" borderId="34" xfId="0" applyFont="1" applyFill="1" applyBorder="1" applyAlignment="1">
      <alignment horizontal="center" wrapText="1"/>
    </xf>
    <xf numFmtId="0" fontId="67" fillId="4" borderId="31" xfId="0" applyFont="1" applyFill="1" applyBorder="1" applyAlignment="1">
      <alignment horizontal="center" wrapText="1"/>
    </xf>
    <xf numFmtId="0" fontId="67" fillId="4" borderId="32" xfId="0" applyFont="1" applyFill="1" applyBorder="1" applyAlignment="1">
      <alignment horizontal="center" wrapText="1"/>
    </xf>
    <xf numFmtId="43" fontId="65" fillId="0" borderId="19" xfId="1" applyFont="1" applyBorder="1" applyAlignment="1">
      <alignment horizontal="right"/>
    </xf>
    <xf numFmtId="43" fontId="65" fillId="6" borderId="19" xfId="1" applyFont="1" applyFill="1" applyBorder="1" applyAlignment="1">
      <alignment horizontal="center"/>
    </xf>
    <xf numFmtId="43" fontId="65" fillId="0" borderId="19" xfId="1" applyFont="1" applyBorder="1" applyAlignment="1">
      <alignment horizontal="center"/>
    </xf>
    <xf numFmtId="0" fontId="68" fillId="6" borderId="12" xfId="0" applyFont="1" applyFill="1" applyBorder="1" applyAlignment="1">
      <alignment horizontal="left"/>
    </xf>
    <xf numFmtId="166" fontId="67" fillId="8" borderId="31" xfId="8" applyFont="1" applyFill="1" applyBorder="1" applyAlignment="1">
      <alignment horizontal="right"/>
    </xf>
    <xf numFmtId="166" fontId="67" fillId="8" borderId="32" xfId="8" applyFont="1" applyFill="1" applyBorder="1" applyAlignment="1">
      <alignment horizontal="right"/>
    </xf>
    <xf numFmtId="0" fontId="2" fillId="4" borderId="31" xfId="0" applyFont="1" applyFill="1" applyBorder="1" applyAlignment="1">
      <alignment horizontal="center" wrapText="1"/>
    </xf>
    <xf numFmtId="0" fontId="4" fillId="0" borderId="0" xfId="0" applyFont="1"/>
    <xf numFmtId="0" fontId="91" fillId="20" borderId="12" xfId="0" applyFont="1" applyFill="1" applyBorder="1" applyAlignment="1">
      <alignment horizontal="center" vertical="center" wrapText="1"/>
    </xf>
    <xf numFmtId="174" fontId="92" fillId="21" borderId="51" xfId="0" applyNumberFormat="1" applyFont="1" applyFill="1" applyBorder="1" applyAlignment="1">
      <alignment horizontal="right" vertical="top" wrapText="1"/>
    </xf>
    <xf numFmtId="0" fontId="73" fillId="21" borderId="15" xfId="0" applyFont="1" applyFill="1" applyBorder="1" applyAlignment="1">
      <alignment horizontal="center" vertical="top" wrapText="1"/>
    </xf>
    <xf numFmtId="0" fontId="92" fillId="21" borderId="15" xfId="0" applyFont="1" applyFill="1" applyBorder="1" applyAlignment="1">
      <alignment horizontal="left" vertical="top" wrapText="1"/>
    </xf>
    <xf numFmtId="0" fontId="72" fillId="21" borderId="12" xfId="0" applyFont="1" applyFill="1" applyBorder="1"/>
    <xf numFmtId="0" fontId="67" fillId="21" borderId="12" xfId="0" applyFont="1" applyFill="1" applyBorder="1"/>
    <xf numFmtId="165" fontId="2" fillId="21" borderId="12" xfId="0" applyNumberFormat="1" applyFont="1" applyFill="1" applyBorder="1"/>
    <xf numFmtId="165" fontId="34" fillId="0" borderId="19" xfId="0" applyNumberFormat="1" applyFont="1" applyBorder="1"/>
    <xf numFmtId="165" fontId="2" fillId="0" borderId="12" xfId="0" applyNumberFormat="1" applyFont="1" applyBorder="1"/>
    <xf numFmtId="165" fontId="101" fillId="6" borderId="9" xfId="0" applyNumberFormat="1" applyFont="1" applyFill="1" applyBorder="1"/>
    <xf numFmtId="174" fontId="93" fillId="6" borderId="12" xfId="0" applyNumberFormat="1" applyFont="1" applyFill="1" applyBorder="1" applyAlignment="1">
      <alignment wrapText="1"/>
    </xf>
    <xf numFmtId="165" fontId="65" fillId="0" borderId="12" xfId="0" applyNumberFormat="1" applyFont="1" applyBorder="1"/>
    <xf numFmtId="165" fontId="72" fillId="6" borderId="9" xfId="0" applyNumberFormat="1" applyFont="1" applyFill="1" applyBorder="1"/>
    <xf numFmtId="0" fontId="0" fillId="37" borderId="36" xfId="0" applyFill="1" applyBorder="1"/>
    <xf numFmtId="0" fontId="0" fillId="37" borderId="16" xfId="0" applyFill="1" applyBorder="1"/>
    <xf numFmtId="0" fontId="3" fillId="37" borderId="16" xfId="0" applyFont="1" applyFill="1" applyBorder="1"/>
    <xf numFmtId="166" fontId="2" fillId="37" borderId="46" xfId="0" applyNumberFormat="1" applyFont="1" applyFill="1" applyBorder="1" applyAlignment="1">
      <alignment horizontal="center"/>
    </xf>
    <xf numFmtId="0" fontId="64" fillId="0" borderId="0" xfId="0" applyFont="1" applyAlignment="1">
      <alignment horizontal="center" wrapText="1"/>
    </xf>
    <xf numFmtId="43" fontId="0" fillId="0" borderId="0" xfId="0" applyNumberFormat="1"/>
    <xf numFmtId="174" fontId="0" fillId="0" borderId="17" xfId="0" applyNumberFormat="1" applyBorder="1" applyAlignment="1">
      <alignment horizontal="right"/>
    </xf>
    <xf numFmtId="0" fontId="75" fillId="0" borderId="12" xfId="0" applyFont="1" applyBorder="1" applyAlignment="1">
      <alignment horizontal="right"/>
    </xf>
    <xf numFmtId="0" fontId="105" fillId="4" borderId="56" xfId="0" applyFont="1" applyFill="1" applyBorder="1" applyAlignment="1">
      <alignment horizontal="center" wrapText="1"/>
    </xf>
    <xf numFmtId="174" fontId="93" fillId="0" borderId="12" xfId="0" applyNumberFormat="1" applyFont="1" applyBorder="1"/>
    <xf numFmtId="0" fontId="93" fillId="25" borderId="8" xfId="0" applyFont="1" applyFill="1" applyBorder="1"/>
    <xf numFmtId="0" fontId="93" fillId="25" borderId="12" xfId="0" applyFont="1" applyFill="1" applyBorder="1"/>
    <xf numFmtId="0" fontId="2" fillId="25" borderId="12" xfId="0" applyFont="1" applyFill="1" applyBorder="1" applyAlignment="1">
      <alignment horizontal="center"/>
    </xf>
    <xf numFmtId="14" fontId="72" fillId="6" borderId="12" xfId="0" applyNumberFormat="1" applyFont="1" applyFill="1" applyBorder="1" applyAlignment="1">
      <alignment horizontal="center"/>
    </xf>
    <xf numFmtId="174" fontId="93" fillId="39" borderId="8" xfId="0" applyNumberFormat="1" applyFont="1" applyFill="1" applyBorder="1" applyAlignment="1">
      <alignment wrapText="1"/>
    </xf>
    <xf numFmtId="0" fontId="72" fillId="39" borderId="12" xfId="0" applyFont="1" applyFill="1" applyBorder="1" applyAlignment="1">
      <alignment horizontal="center"/>
    </xf>
    <xf numFmtId="0" fontId="93" fillId="39" borderId="12" xfId="0" applyFont="1" applyFill="1" applyBorder="1"/>
    <xf numFmtId="0" fontId="67" fillId="39" borderId="12" xfId="0" applyFont="1" applyFill="1" applyBorder="1" applyAlignment="1">
      <alignment horizontal="center" wrapText="1"/>
    </xf>
    <xf numFmtId="0" fontId="67" fillId="39" borderId="12" xfId="0" applyFont="1" applyFill="1" applyBorder="1"/>
    <xf numFmtId="165" fontId="34" fillId="0" borderId="9" xfId="0" applyNumberFormat="1" applyFont="1" applyBorder="1"/>
    <xf numFmtId="43" fontId="0" fillId="0" borderId="29" xfId="1" applyFont="1" applyBorder="1"/>
    <xf numFmtId="0" fontId="4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72" fillId="6" borderId="19" xfId="0" applyFont="1" applyFill="1" applyBorder="1" applyAlignment="1">
      <alignment horizontal="center"/>
    </xf>
    <xf numFmtId="0" fontId="0" fillId="0" borderId="12" xfId="0" applyBorder="1" applyAlignment="1">
      <alignment horizontal="right"/>
    </xf>
    <xf numFmtId="43" fontId="0" fillId="0" borderId="9" xfId="1" applyFont="1" applyFill="1" applyBorder="1"/>
    <xf numFmtId="4" fontId="0" fillId="0" borderId="12" xfId="0" applyNumberFormat="1" applyBorder="1"/>
    <xf numFmtId="4" fontId="0" fillId="0" borderId="12" xfId="0" applyNumberFormat="1" applyBorder="1" applyAlignment="1">
      <alignment horizontal="right"/>
    </xf>
    <xf numFmtId="0" fontId="2" fillId="0" borderId="12" xfId="0" applyFont="1" applyBorder="1" applyAlignment="1">
      <alignment horizontal="right"/>
    </xf>
    <xf numFmtId="166" fontId="0" fillId="0" borderId="12" xfId="0" applyNumberFormat="1" applyBorder="1"/>
    <xf numFmtId="166" fontId="65" fillId="17" borderId="12" xfId="8" applyFont="1" applyFill="1" applyBorder="1" applyAlignment="1">
      <alignment horizontal="center"/>
    </xf>
    <xf numFmtId="0" fontId="75" fillId="6" borderId="12" xfId="0" applyFont="1" applyFill="1" applyBorder="1" applyAlignment="1">
      <alignment horizontal="left" wrapText="1"/>
    </xf>
    <xf numFmtId="174" fontId="93" fillId="3" borderId="8" xfId="0" applyNumberFormat="1" applyFont="1" applyFill="1" applyBorder="1" applyAlignment="1">
      <alignment wrapText="1"/>
    </xf>
    <xf numFmtId="0" fontId="72" fillId="3" borderId="12" xfId="0" applyFont="1" applyFill="1" applyBorder="1" applyAlignment="1">
      <alignment horizontal="center"/>
    </xf>
    <xf numFmtId="0" fontId="93" fillId="3" borderId="12" xfId="0" applyFont="1" applyFill="1" applyBorder="1"/>
    <xf numFmtId="0" fontId="67" fillId="3" borderId="12" xfId="0" applyFont="1" applyFill="1" applyBorder="1" applyAlignment="1">
      <alignment horizontal="center" wrapText="1"/>
    </xf>
    <xf numFmtId="0" fontId="4" fillId="3" borderId="12" xfId="0" applyFont="1" applyFill="1" applyBorder="1"/>
    <xf numFmtId="165" fontId="4" fillId="3" borderId="9" xfId="0" applyNumberFormat="1" applyFont="1" applyFill="1" applyBorder="1"/>
    <xf numFmtId="0" fontId="2" fillId="17" borderId="28" xfId="0" applyFont="1" applyFill="1" applyBorder="1" applyAlignment="1">
      <alignment wrapText="1"/>
    </xf>
    <xf numFmtId="174" fontId="0" fillId="0" borderId="45" xfId="0" applyNumberFormat="1" applyBorder="1"/>
    <xf numFmtId="0" fontId="2" fillId="0" borderId="21" xfId="0" applyFont="1" applyBorder="1"/>
    <xf numFmtId="0" fontId="0" fillId="0" borderId="34" xfId="0" applyBorder="1" applyAlignment="1">
      <alignment vertical="center" wrapText="1"/>
    </xf>
    <xf numFmtId="0" fontId="0" fillId="0" borderId="17" xfId="0" applyBorder="1" applyAlignment="1">
      <alignment horizontal="right"/>
    </xf>
    <xf numFmtId="174" fontId="0" fillId="0" borderId="17" xfId="0" applyNumberFormat="1" applyBorder="1"/>
    <xf numFmtId="14" fontId="75" fillId="0" borderId="12" xfId="0" applyNumberFormat="1" applyFont="1" applyBorder="1"/>
    <xf numFmtId="14" fontId="75" fillId="0" borderId="12" xfId="0" applyNumberFormat="1" applyFont="1" applyBorder="1" applyAlignment="1">
      <alignment horizontal="right"/>
    </xf>
    <xf numFmtId="0" fontId="75" fillId="0" borderId="12" xfId="0" applyFont="1" applyBorder="1" applyAlignment="1">
      <alignment horizontal="right" wrapText="1"/>
    </xf>
    <xf numFmtId="0" fontId="75" fillId="6" borderId="12" xfId="0" applyFont="1" applyFill="1" applyBorder="1" applyAlignment="1">
      <alignment horizontal="right"/>
    </xf>
    <xf numFmtId="0" fontId="75" fillId="6" borderId="12" xfId="0" applyFont="1" applyFill="1" applyBorder="1" applyAlignment="1">
      <alignment horizontal="right" wrapText="1"/>
    </xf>
    <xf numFmtId="0" fontId="0" fillId="6" borderId="12" xfId="0" applyFill="1" applyBorder="1" applyAlignment="1">
      <alignment horizontal="right"/>
    </xf>
    <xf numFmtId="0" fontId="0" fillId="0" borderId="12" xfId="0" applyBorder="1" applyAlignment="1">
      <alignment wrapText="1"/>
    </xf>
    <xf numFmtId="49" fontId="67" fillId="4" borderId="25" xfId="0" applyNumberFormat="1" applyFont="1" applyFill="1" applyBorder="1" applyAlignment="1">
      <alignment horizontal="center" wrapText="1"/>
    </xf>
    <xf numFmtId="174" fontId="93" fillId="40" borderId="8" xfId="0" applyNumberFormat="1" applyFont="1" applyFill="1" applyBorder="1" applyAlignment="1">
      <alignment wrapText="1"/>
    </xf>
    <xf numFmtId="0" fontId="0" fillId="40" borderId="12" xfId="0" applyFill="1" applyBorder="1" applyAlignment="1">
      <alignment horizontal="center"/>
    </xf>
    <xf numFmtId="0" fontId="93" fillId="40" borderId="12" xfId="0" applyFont="1" applyFill="1" applyBorder="1"/>
    <xf numFmtId="0" fontId="65" fillId="40" borderId="12" xfId="0" applyFont="1" applyFill="1" applyBorder="1" applyAlignment="1">
      <alignment horizontal="center" wrapText="1"/>
    </xf>
    <xf numFmtId="0" fontId="65" fillId="40" borderId="12" xfId="0" applyFont="1" applyFill="1" applyBorder="1"/>
    <xf numFmtId="165" fontId="74" fillId="40" borderId="9" xfId="0" applyNumberFormat="1" applyFont="1" applyFill="1" applyBorder="1"/>
    <xf numFmtId="165" fontId="107" fillId="6" borderId="9" xfId="0" applyNumberFormat="1" applyFont="1" applyFill="1" applyBorder="1"/>
    <xf numFmtId="174" fontId="93" fillId="41" borderId="8" xfId="0" applyNumberFormat="1" applyFont="1" applyFill="1" applyBorder="1" applyAlignment="1">
      <alignment wrapText="1"/>
    </xf>
    <xf numFmtId="0" fontId="72" fillId="41" borderId="12" xfId="0" applyFont="1" applyFill="1" applyBorder="1" applyAlignment="1">
      <alignment horizontal="center"/>
    </xf>
    <xf numFmtId="0" fontId="93" fillId="41" borderId="12" xfId="0" applyFont="1" applyFill="1" applyBorder="1"/>
    <xf numFmtId="0" fontId="2" fillId="41" borderId="12" xfId="0" applyFont="1" applyFill="1" applyBorder="1" applyAlignment="1">
      <alignment horizontal="center" wrapText="1"/>
    </xf>
    <xf numFmtId="0" fontId="2" fillId="41" borderId="12" xfId="0" applyFont="1" applyFill="1" applyBorder="1"/>
    <xf numFmtId="165" fontId="4" fillId="41" borderId="9" xfId="0" applyNumberFormat="1" applyFont="1" applyFill="1" applyBorder="1"/>
    <xf numFmtId="0" fontId="75" fillId="0" borderId="12" xfId="0" applyFont="1" applyBorder="1"/>
    <xf numFmtId="0" fontId="7" fillId="6" borderId="12" xfId="0" applyFont="1" applyFill="1" applyBorder="1"/>
    <xf numFmtId="43" fontId="0" fillId="6" borderId="13" xfId="1" applyFont="1" applyFill="1" applyBorder="1"/>
    <xf numFmtId="43" fontId="0" fillId="6" borderId="7" xfId="1" applyFont="1" applyFill="1" applyBorder="1"/>
    <xf numFmtId="167" fontId="0" fillId="6" borderId="13" xfId="0" applyNumberFormat="1" applyFill="1" applyBorder="1"/>
    <xf numFmtId="167" fontId="0" fillId="0" borderId="13" xfId="0" applyNumberFormat="1" applyBorder="1" applyAlignment="1">
      <alignment horizontal="right"/>
    </xf>
    <xf numFmtId="0" fontId="2" fillId="0" borderId="24" xfId="0" applyFont="1" applyBorder="1" applyAlignment="1">
      <alignment horizontal="center"/>
    </xf>
    <xf numFmtId="0" fontId="2" fillId="0" borderId="24" xfId="0" applyFont="1" applyBorder="1" applyAlignment="1">
      <alignment horizontal="center" wrapText="1"/>
    </xf>
    <xf numFmtId="14" fontId="2" fillId="0" borderId="24" xfId="0" applyNumberFormat="1" applyFont="1" applyBorder="1" applyAlignment="1">
      <alignment horizontal="center"/>
    </xf>
    <xf numFmtId="43" fontId="0" fillId="6" borderId="14" xfId="1" applyFont="1" applyFill="1" applyBorder="1"/>
    <xf numFmtId="1" fontId="0" fillId="0" borderId="12" xfId="0" applyNumberFormat="1" applyBorder="1"/>
    <xf numFmtId="165" fontId="0" fillId="0" borderId="12" xfId="2" applyFont="1" applyFill="1" applyBorder="1"/>
    <xf numFmtId="0" fontId="75" fillId="0" borderId="12" xfId="0" applyFont="1" applyBorder="1" applyAlignment="1">
      <alignment horizontal="center" wrapText="1"/>
    </xf>
    <xf numFmtId="4" fontId="0" fillId="6" borderId="12" xfId="0" applyNumberFormat="1" applyFill="1" applyBorder="1"/>
    <xf numFmtId="0" fontId="64" fillId="0" borderId="17" xfId="0" applyFont="1" applyBorder="1" applyAlignment="1">
      <alignment horizontal="left"/>
    </xf>
    <xf numFmtId="0" fontId="75" fillId="6" borderId="12" xfId="0" applyFont="1" applyFill="1" applyBorder="1" applyAlignment="1">
      <alignment horizontal="center" wrapText="1"/>
    </xf>
    <xf numFmtId="14" fontId="75" fillId="6" borderId="12" xfId="0" applyNumberFormat="1" applyFont="1" applyFill="1" applyBorder="1"/>
    <xf numFmtId="0" fontId="64" fillId="6" borderId="17" xfId="0" applyFont="1" applyFill="1" applyBorder="1"/>
    <xf numFmtId="14" fontId="75" fillId="6" borderId="12" xfId="0" applyNumberFormat="1" applyFont="1" applyFill="1" applyBorder="1" applyAlignment="1">
      <alignment horizontal="right"/>
    </xf>
    <xf numFmtId="14" fontId="64" fillId="6" borderId="12" xfId="0" applyNumberFormat="1" applyFont="1" applyFill="1" applyBorder="1" applyAlignment="1">
      <alignment horizontal="right"/>
    </xf>
    <xf numFmtId="14" fontId="0" fillId="0" borderId="12" xfId="0" applyNumberFormat="1" applyBorder="1"/>
    <xf numFmtId="0" fontId="65" fillId="0" borderId="12" xfId="0" applyFont="1" applyBorder="1" applyAlignment="1">
      <alignment horizontal="left" wrapText="1"/>
    </xf>
    <xf numFmtId="0" fontId="73" fillId="6" borderId="12" xfId="0" applyFont="1" applyFill="1" applyBorder="1" applyAlignment="1">
      <alignment horizontal="left"/>
    </xf>
    <xf numFmtId="43" fontId="65" fillId="0" borderId="12" xfId="1" applyFont="1" applyFill="1" applyBorder="1" applyAlignment="1">
      <alignment horizontal="center"/>
    </xf>
    <xf numFmtId="174" fontId="92" fillId="22" borderId="51" xfId="0" applyNumberFormat="1" applyFont="1" applyFill="1" applyBorder="1" applyAlignment="1">
      <alignment horizontal="right" vertical="top" wrapText="1"/>
    </xf>
    <xf numFmtId="0" fontId="73" fillId="22" borderId="15" xfId="0" applyFont="1" applyFill="1" applyBorder="1" applyAlignment="1">
      <alignment horizontal="center" vertical="top" wrapText="1"/>
    </xf>
    <xf numFmtId="0" fontId="92" fillId="22" borderId="15" xfId="0" applyFont="1" applyFill="1" applyBorder="1" applyAlignment="1">
      <alignment horizontal="left" vertical="top" wrapText="1"/>
    </xf>
    <xf numFmtId="0" fontId="72" fillId="22" borderId="12" xfId="0" applyFont="1" applyFill="1" applyBorder="1"/>
    <xf numFmtId="0" fontId="67" fillId="22" borderId="12" xfId="0" applyFont="1" applyFill="1" applyBorder="1"/>
    <xf numFmtId="165" fontId="2" fillId="22" borderId="12" xfId="0" applyNumberFormat="1" applyFont="1" applyFill="1" applyBorder="1"/>
    <xf numFmtId="165" fontId="2" fillId="6" borderId="19" xfId="0" applyNumberFormat="1" applyFont="1" applyFill="1" applyBorder="1"/>
    <xf numFmtId="165" fontId="2" fillId="6" borderId="12" xfId="0" applyNumberFormat="1" applyFont="1" applyFill="1" applyBorder="1"/>
    <xf numFmtId="0" fontId="93" fillId="23" borderId="8" xfId="0" applyFont="1" applyFill="1" applyBorder="1"/>
    <xf numFmtId="0" fontId="0" fillId="23" borderId="12" xfId="0" applyFill="1" applyBorder="1" applyAlignment="1">
      <alignment horizontal="center"/>
    </xf>
    <xf numFmtId="0" fontId="2" fillId="23" borderId="12" xfId="0" applyFont="1" applyFill="1" applyBorder="1" applyAlignment="1">
      <alignment horizontal="center"/>
    </xf>
    <xf numFmtId="0" fontId="0" fillId="23" borderId="12" xfId="0" applyFill="1" applyBorder="1"/>
    <xf numFmtId="165" fontId="0" fillId="23" borderId="12" xfId="0" applyNumberFormat="1" applyFill="1" applyBorder="1"/>
    <xf numFmtId="0" fontId="108" fillId="0" borderId="12" xfId="0" applyFont="1" applyBorder="1" applyAlignment="1">
      <alignment horizontal="left" wrapText="1"/>
    </xf>
    <xf numFmtId="4" fontId="7" fillId="6" borderId="12" xfId="0" applyNumberFormat="1" applyFont="1" applyFill="1" applyBorder="1"/>
    <xf numFmtId="16" fontId="0" fillId="0" borderId="0" xfId="0" applyNumberFormat="1"/>
    <xf numFmtId="0" fontId="93" fillId="0" borderId="57" xfId="0" applyFont="1" applyBorder="1"/>
    <xf numFmtId="0" fontId="0" fillId="0" borderId="47" xfId="0" applyBorder="1" applyAlignment="1">
      <alignment horizontal="center"/>
    </xf>
    <xf numFmtId="0" fontId="93" fillId="0" borderId="47" xfId="0" applyFont="1" applyBorder="1" applyAlignment="1">
      <alignment horizontal="left"/>
    </xf>
    <xf numFmtId="0" fontId="0" fillId="0" borderId="47" xfId="0" applyBorder="1"/>
    <xf numFmtId="0" fontId="2" fillId="0" borderId="47" xfId="0" applyFont="1" applyBorder="1"/>
    <xf numFmtId="165" fontId="4" fillId="6" borderId="58" xfId="0" applyNumberFormat="1" applyFont="1" applyFill="1" applyBorder="1"/>
    <xf numFmtId="174" fontId="93" fillId="26" borderId="8" xfId="0" applyNumberFormat="1" applyFont="1" applyFill="1" applyBorder="1"/>
    <xf numFmtId="0" fontId="67" fillId="26" borderId="12" xfId="0" applyFont="1" applyFill="1" applyBorder="1" applyAlignment="1">
      <alignment horizontal="center"/>
    </xf>
    <xf numFmtId="174" fontId="93" fillId="6" borderId="8" xfId="0" applyNumberFormat="1" applyFont="1" applyFill="1" applyBorder="1"/>
    <xf numFmtId="0" fontId="0" fillId="0" borderId="19" xfId="0" applyBorder="1" applyAlignment="1">
      <alignment horizontal="right" wrapText="1"/>
    </xf>
    <xf numFmtId="0" fontId="72" fillId="6" borderId="12" xfId="0" applyFont="1" applyFill="1" applyBorder="1"/>
    <xf numFmtId="165" fontId="0" fillId="6" borderId="9" xfId="0" applyNumberFormat="1" applyFill="1" applyBorder="1"/>
    <xf numFmtId="0" fontId="67" fillId="6" borderId="12" xfId="0" applyFont="1" applyFill="1" applyBorder="1" applyAlignment="1">
      <alignment horizontal="center"/>
    </xf>
    <xf numFmtId="0" fontId="93" fillId="39" borderId="12" xfId="0" applyFont="1" applyFill="1" applyBorder="1" applyAlignment="1">
      <alignment horizontal="left"/>
    </xf>
    <xf numFmtId="0" fontId="4" fillId="39" borderId="12" xfId="0" applyFont="1" applyFill="1" applyBorder="1"/>
    <xf numFmtId="165" fontId="4" fillId="39" borderId="9" xfId="0" applyNumberFormat="1" applyFont="1" applyFill="1" applyBorder="1"/>
    <xf numFmtId="165" fontId="5" fillId="6" borderId="9" xfId="0" applyNumberFormat="1" applyFont="1" applyFill="1" applyBorder="1"/>
    <xf numFmtId="174" fontId="93" fillId="11" borderId="8" xfId="0" applyNumberFormat="1" applyFont="1" applyFill="1" applyBorder="1" applyAlignment="1">
      <alignment wrapText="1"/>
    </xf>
    <xf numFmtId="0" fontId="72" fillId="11" borderId="12" xfId="0" applyFont="1" applyFill="1" applyBorder="1" applyAlignment="1">
      <alignment horizontal="center"/>
    </xf>
    <xf numFmtId="0" fontId="93" fillId="11" borderId="12" xfId="0" applyFont="1" applyFill="1" applyBorder="1" applyAlignment="1">
      <alignment horizontal="left"/>
    </xf>
    <xf numFmtId="0" fontId="67" fillId="11" borderId="12" xfId="0" applyFont="1" applyFill="1" applyBorder="1" applyAlignment="1">
      <alignment horizontal="center" wrapText="1"/>
    </xf>
    <xf numFmtId="0" fontId="4" fillId="11" borderId="12" xfId="0" applyFont="1" applyFill="1" applyBorder="1"/>
    <xf numFmtId="165" fontId="4" fillId="11" borderId="9" xfId="0" applyNumberFormat="1" applyFont="1" applyFill="1" applyBorder="1"/>
    <xf numFmtId="165" fontId="5" fillId="0" borderId="9" xfId="0" applyNumberFormat="1" applyFont="1" applyBorder="1"/>
    <xf numFmtId="0" fontId="93" fillId="28" borderId="8" xfId="0" applyFont="1" applyFill="1" applyBorder="1"/>
    <xf numFmtId="0" fontId="0" fillId="28" borderId="12" xfId="0" applyFill="1" applyBorder="1" applyAlignment="1">
      <alignment horizontal="center"/>
    </xf>
    <xf numFmtId="0" fontId="93" fillId="28" borderId="12" xfId="0" applyFont="1" applyFill="1" applyBorder="1" applyAlignment="1">
      <alignment horizontal="left"/>
    </xf>
    <xf numFmtId="0" fontId="2" fillId="28" borderId="12" xfId="0" applyFont="1" applyFill="1" applyBorder="1"/>
    <xf numFmtId="165" fontId="4" fillId="28" borderId="9" xfId="0" applyNumberFormat="1" applyFont="1" applyFill="1" applyBorder="1"/>
    <xf numFmtId="14" fontId="93" fillId="0" borderId="8" xfId="0" applyNumberFormat="1" applyFont="1" applyBorder="1"/>
    <xf numFmtId="0" fontId="93" fillId="17" borderId="12" xfId="0" applyFont="1" applyFill="1" applyBorder="1" applyAlignment="1">
      <alignment horizontal="center"/>
    </xf>
    <xf numFmtId="0" fontId="93" fillId="17" borderId="8" xfId="0" applyFont="1" applyFill="1" applyBorder="1"/>
    <xf numFmtId="0" fontId="93" fillId="17" borderId="12" xfId="0" applyFont="1" applyFill="1" applyBorder="1" applyAlignment="1">
      <alignment horizontal="left"/>
    </xf>
    <xf numFmtId="0" fontId="72" fillId="17" borderId="12" xfId="0" applyFont="1" applyFill="1" applyBorder="1"/>
    <xf numFmtId="0" fontId="2" fillId="17" borderId="12" xfId="0" applyFont="1" applyFill="1" applyBorder="1"/>
    <xf numFmtId="165" fontId="80" fillId="17" borderId="9" xfId="0" applyNumberFormat="1" applyFont="1" applyFill="1" applyBorder="1"/>
    <xf numFmtId="174" fontId="93" fillId="10" borderId="8" xfId="0" applyNumberFormat="1" applyFont="1" applyFill="1" applyBorder="1" applyAlignment="1">
      <alignment wrapText="1"/>
    </xf>
    <xf numFmtId="0" fontId="72" fillId="10" borderId="12" xfId="0" applyFont="1" applyFill="1" applyBorder="1" applyAlignment="1">
      <alignment horizontal="center"/>
    </xf>
    <xf numFmtId="0" fontId="93" fillId="10" borderId="12" xfId="0" applyFont="1" applyFill="1" applyBorder="1" applyAlignment="1">
      <alignment horizontal="left"/>
    </xf>
    <xf numFmtId="0" fontId="67" fillId="10" borderId="12" xfId="0" applyFont="1" applyFill="1" applyBorder="1" applyAlignment="1">
      <alignment horizontal="center" wrapText="1"/>
    </xf>
    <xf numFmtId="0" fontId="4" fillId="10" borderId="12" xfId="0" applyFont="1" applyFill="1" applyBorder="1"/>
    <xf numFmtId="165" fontId="4" fillId="10" borderId="9" xfId="0" applyNumberFormat="1" applyFont="1" applyFill="1" applyBorder="1"/>
    <xf numFmtId="0" fontId="93" fillId="23" borderId="0" xfId="0" applyFont="1" applyFill="1" applyAlignment="1">
      <alignment horizontal="left"/>
    </xf>
    <xf numFmtId="0" fontId="67" fillId="23" borderId="12" xfId="0" applyFont="1" applyFill="1" applyBorder="1" applyAlignment="1">
      <alignment horizontal="center"/>
    </xf>
    <xf numFmtId="0" fontId="72" fillId="23" borderId="12" xfId="0" applyFont="1" applyFill="1" applyBorder="1"/>
    <xf numFmtId="165" fontId="72" fillId="23" borderId="9" xfId="0" applyNumberFormat="1" applyFont="1" applyFill="1" applyBorder="1"/>
    <xf numFmtId="165" fontId="74" fillId="6" borderId="9" xfId="0" applyNumberFormat="1" applyFont="1" applyFill="1" applyBorder="1"/>
    <xf numFmtId="174" fontId="93" fillId="42" borderId="8" xfId="0" applyNumberFormat="1" applyFont="1" applyFill="1" applyBorder="1" applyAlignment="1">
      <alignment wrapText="1"/>
    </xf>
    <xf numFmtId="0" fontId="0" fillId="42" borderId="12" xfId="0" applyFill="1" applyBorder="1" applyAlignment="1">
      <alignment horizontal="center"/>
    </xf>
    <xf numFmtId="0" fontId="93" fillId="42" borderId="12" xfId="0" applyFont="1" applyFill="1" applyBorder="1"/>
    <xf numFmtId="0" fontId="2" fillId="42" borderId="12" xfId="0" applyFont="1" applyFill="1" applyBorder="1" applyAlignment="1">
      <alignment horizontal="center" wrapText="1"/>
    </xf>
    <xf numFmtId="0" fontId="1" fillId="42" borderId="12" xfId="0" applyFont="1" applyFill="1" applyBorder="1"/>
    <xf numFmtId="165" fontId="2" fillId="42" borderId="9" xfId="0" applyNumberFormat="1" applyFont="1" applyFill="1" applyBorder="1"/>
    <xf numFmtId="0" fontId="72" fillId="27" borderId="12" xfId="0" applyFont="1" applyFill="1" applyBorder="1" applyAlignment="1">
      <alignment horizontal="center"/>
    </xf>
    <xf numFmtId="0" fontId="67" fillId="27" borderId="12" xfId="0" applyFont="1" applyFill="1" applyBorder="1" applyAlignment="1">
      <alignment horizontal="center" wrapText="1"/>
    </xf>
    <xf numFmtId="0" fontId="2" fillId="27" borderId="12" xfId="0" applyFont="1" applyFill="1" applyBorder="1"/>
    <xf numFmtId="165" fontId="67" fillId="27" borderId="9" xfId="0" applyNumberFormat="1" applyFont="1" applyFill="1" applyBorder="1"/>
    <xf numFmtId="0" fontId="64" fillId="0" borderId="12" xfId="0" applyFont="1" applyBorder="1" applyAlignment="1">
      <alignment horizontal="center"/>
    </xf>
    <xf numFmtId="0" fontId="64" fillId="0" borderId="12" xfId="0" applyFont="1" applyBorder="1" applyAlignment="1">
      <alignment horizontal="right" wrapText="1"/>
    </xf>
    <xf numFmtId="0" fontId="64" fillId="6" borderId="12" xfId="0" applyFont="1" applyFill="1" applyBorder="1" applyAlignment="1">
      <alignment horizontal="right" wrapText="1"/>
    </xf>
    <xf numFmtId="0" fontId="72" fillId="6" borderId="12" xfId="0" applyFont="1" applyFill="1" applyBorder="1" applyAlignment="1">
      <alignment horizontal="right"/>
    </xf>
    <xf numFmtId="165" fontId="34" fillId="9" borderId="9" xfId="0" applyNumberFormat="1" applyFont="1" applyFill="1" applyBorder="1"/>
    <xf numFmtId="174" fontId="93" fillId="43" borderId="8" xfId="0" applyNumberFormat="1" applyFont="1" applyFill="1" applyBorder="1" applyAlignment="1">
      <alignment wrapText="1"/>
    </xf>
    <xf numFmtId="0" fontId="72" fillId="43" borderId="12" xfId="0" applyFont="1" applyFill="1" applyBorder="1" applyAlignment="1">
      <alignment horizontal="right"/>
    </xf>
    <xf numFmtId="0" fontId="93" fillId="43" borderId="12" xfId="0" applyFont="1" applyFill="1" applyBorder="1" applyAlignment="1">
      <alignment horizontal="left"/>
    </xf>
    <xf numFmtId="0" fontId="67" fillId="43" borderId="12" xfId="0" applyFont="1" applyFill="1" applyBorder="1" applyAlignment="1">
      <alignment horizontal="center" wrapText="1"/>
    </xf>
    <xf numFmtId="0" fontId="67" fillId="43" borderId="12" xfId="0" applyFont="1" applyFill="1" applyBorder="1"/>
    <xf numFmtId="165" fontId="67" fillId="43" borderId="9" xfId="0" applyNumberFormat="1" applyFont="1" applyFill="1" applyBorder="1"/>
    <xf numFmtId="0" fontId="109" fillId="0" borderId="12" xfId="0" applyFont="1" applyBorder="1"/>
    <xf numFmtId="0" fontId="72" fillId="23" borderId="12" xfId="0" applyFont="1" applyFill="1" applyBorder="1" applyAlignment="1">
      <alignment horizontal="right"/>
    </xf>
    <xf numFmtId="174" fontId="93" fillId="44" borderId="8" xfId="0" applyNumberFormat="1" applyFont="1" applyFill="1" applyBorder="1" applyAlignment="1">
      <alignment wrapText="1"/>
    </xf>
    <xf numFmtId="0" fontId="72" fillId="44" borderId="12" xfId="0" applyFont="1" applyFill="1" applyBorder="1" applyAlignment="1">
      <alignment horizontal="center"/>
    </xf>
    <xf numFmtId="0" fontId="93" fillId="44" borderId="12" xfId="0" applyFont="1" applyFill="1" applyBorder="1"/>
    <xf numFmtId="0" fontId="67" fillId="44" borderId="12" xfId="0" applyFont="1" applyFill="1" applyBorder="1" applyAlignment="1">
      <alignment horizontal="center" wrapText="1"/>
    </xf>
    <xf numFmtId="0" fontId="4" fillId="44" borderId="12" xfId="0" applyFont="1" applyFill="1" applyBorder="1"/>
    <xf numFmtId="165" fontId="67" fillId="44" borderId="9" xfId="0" applyNumberFormat="1" applyFont="1" applyFill="1" applyBorder="1"/>
    <xf numFmtId="165" fontId="67" fillId="6" borderId="9" xfId="0" applyNumberFormat="1" applyFont="1" applyFill="1" applyBorder="1"/>
    <xf numFmtId="174" fontId="93" fillId="22" borderId="8" xfId="0" applyNumberFormat="1" applyFont="1" applyFill="1" applyBorder="1" applyAlignment="1">
      <alignment wrapText="1"/>
    </xf>
    <xf numFmtId="0" fontId="72" fillId="22" borderId="12" xfId="0" applyFont="1" applyFill="1" applyBorder="1" applyAlignment="1">
      <alignment horizontal="center"/>
    </xf>
    <xf numFmtId="0" fontId="67" fillId="22" borderId="12" xfId="0" applyFont="1" applyFill="1" applyBorder="1" applyAlignment="1">
      <alignment horizontal="center" wrapText="1"/>
    </xf>
    <xf numFmtId="0" fontId="4" fillId="22" borderId="12" xfId="0" applyFont="1" applyFill="1" applyBorder="1"/>
    <xf numFmtId="165" fontId="2" fillId="22" borderId="9" xfId="0" applyNumberFormat="1" applyFont="1" applyFill="1" applyBorder="1"/>
    <xf numFmtId="165" fontId="1" fillId="17" borderId="9" xfId="0" applyNumberFormat="1" applyFont="1" applyFill="1" applyBorder="1"/>
    <xf numFmtId="165" fontId="67" fillId="39" borderId="9" xfId="0" applyNumberFormat="1" applyFont="1" applyFill="1" applyBorder="1"/>
    <xf numFmtId="165" fontId="75" fillId="6" borderId="9" xfId="0" applyNumberFormat="1" applyFont="1" applyFill="1" applyBorder="1"/>
    <xf numFmtId="174" fontId="72" fillId="45" borderId="8" xfId="0" applyNumberFormat="1" applyFont="1" applyFill="1" applyBorder="1" applyAlignment="1">
      <alignment wrapText="1"/>
    </xf>
    <xf numFmtId="0" fontId="72" fillId="45" borderId="12" xfId="0" applyFont="1" applyFill="1" applyBorder="1" applyAlignment="1">
      <alignment horizontal="center"/>
    </xf>
    <xf numFmtId="0" fontId="93" fillId="45" borderId="12" xfId="0" applyFont="1" applyFill="1" applyBorder="1" applyAlignment="1">
      <alignment horizontal="left"/>
    </xf>
    <xf numFmtId="0" fontId="67" fillId="45" borderId="12" xfId="0" applyFont="1" applyFill="1" applyBorder="1" applyAlignment="1">
      <alignment horizontal="center" wrapText="1"/>
    </xf>
    <xf numFmtId="0" fontId="4" fillId="45" borderId="12" xfId="0" applyFont="1" applyFill="1" applyBorder="1"/>
    <xf numFmtId="165" fontId="4" fillId="45" borderId="9" xfId="0" applyNumberFormat="1" applyFont="1" applyFill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2" borderId="7" xfId="0" applyFont="1" applyFill="1" applyBorder="1" applyAlignment="1">
      <alignment horizontal="center"/>
    </xf>
    <xf numFmtId="0" fontId="4" fillId="2" borderId="53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0" fillId="6" borderId="0" xfId="0" applyFill="1" applyAlignment="1">
      <alignment horizontal="left"/>
    </xf>
    <xf numFmtId="0" fontId="4" fillId="0" borderId="0" xfId="0" applyFont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5" borderId="34" xfId="0" applyFont="1" applyFill="1" applyBorder="1" applyAlignment="1">
      <alignment horizontal="center" vertical="center" wrapText="1"/>
    </xf>
    <xf numFmtId="0" fontId="2" fillId="5" borderId="31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 wrapText="1"/>
    </xf>
    <xf numFmtId="0" fontId="2" fillId="7" borderId="21" xfId="0" applyFont="1" applyFill="1" applyBorder="1" applyAlignment="1">
      <alignment horizontal="center" vertical="center" wrapText="1"/>
    </xf>
    <xf numFmtId="0" fontId="2" fillId="7" borderId="30" xfId="0" applyFont="1" applyFill="1" applyBorder="1" applyAlignment="1">
      <alignment horizontal="center" vertical="center" wrapText="1"/>
    </xf>
    <xf numFmtId="0" fontId="0" fillId="6" borderId="0" xfId="0" applyFill="1" applyAlignment="1">
      <alignment horizontal="left" vertical="top" wrapText="1"/>
    </xf>
    <xf numFmtId="0" fontId="4" fillId="0" borderId="2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5" xfId="0" applyFont="1" applyBorder="1" applyAlignment="1">
      <alignment horizontal="center"/>
    </xf>
    <xf numFmtId="0" fontId="75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7" fillId="8" borderId="21" xfId="0" applyFont="1" applyFill="1" applyBorder="1" applyAlignment="1">
      <alignment horizontal="center"/>
    </xf>
    <xf numFmtId="0" fontId="67" fillId="8" borderId="22" xfId="0" applyFont="1" applyFill="1" applyBorder="1" applyAlignment="1">
      <alignment horizontal="center"/>
    </xf>
    <xf numFmtId="0" fontId="67" fillId="8" borderId="30" xfId="0" applyFont="1" applyFill="1" applyBorder="1" applyAlignment="1">
      <alignment horizontal="center"/>
    </xf>
    <xf numFmtId="0" fontId="65" fillId="0" borderId="0" xfId="0" applyFont="1" applyAlignment="1">
      <alignment horizontal="center"/>
    </xf>
    <xf numFmtId="0" fontId="65" fillId="0" borderId="0" xfId="0" applyFont="1" applyAlignment="1">
      <alignment horizontal="center" wrapText="1"/>
    </xf>
    <xf numFmtId="0" fontId="90" fillId="0" borderId="0" xfId="0" applyFont="1" applyAlignment="1">
      <alignment horizontal="center" vertical="center"/>
    </xf>
    <xf numFmtId="0" fontId="91" fillId="20" borderId="50" xfId="0" applyFont="1" applyFill="1" applyBorder="1" applyAlignment="1">
      <alignment horizontal="center" vertical="center" wrapText="1"/>
    </xf>
    <xf numFmtId="0" fontId="91" fillId="20" borderId="25" xfId="0" applyFont="1" applyFill="1" applyBorder="1" applyAlignment="1">
      <alignment horizontal="center" vertical="center" wrapText="1"/>
    </xf>
    <xf numFmtId="0" fontId="91" fillId="20" borderId="43" xfId="0" applyFont="1" applyFill="1" applyBorder="1" applyAlignment="1">
      <alignment horizontal="center" vertical="center" wrapText="1"/>
    </xf>
    <xf numFmtId="0" fontId="91" fillId="20" borderId="19" xfId="0" applyFont="1" applyFill="1" applyBorder="1" applyAlignment="1">
      <alignment horizontal="center" vertical="center" wrapText="1"/>
    </xf>
    <xf numFmtId="0" fontId="91" fillId="20" borderId="49" xfId="0" applyFont="1" applyFill="1" applyBorder="1" applyAlignment="1">
      <alignment horizontal="center" vertical="center" wrapText="1"/>
    </xf>
    <xf numFmtId="0" fontId="91" fillId="20" borderId="2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4" fillId="13" borderId="17" xfId="0" applyFont="1" applyFill="1" applyBorder="1" applyAlignment="1">
      <alignment horizontal="center" vertical="center" wrapText="1"/>
    </xf>
    <xf numFmtId="0" fontId="4" fillId="13" borderId="18" xfId="0" applyFont="1" applyFill="1" applyBorder="1" applyAlignment="1">
      <alignment horizontal="center" vertical="center" wrapText="1"/>
    </xf>
    <xf numFmtId="0" fontId="4" fillId="13" borderId="1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/>
    </xf>
    <xf numFmtId="0" fontId="2" fillId="2" borderId="33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80" fillId="7" borderId="12" xfId="0" applyFont="1" applyFill="1" applyBorder="1" applyAlignment="1">
      <alignment horizontal="center" vertical="center" wrapText="1"/>
    </xf>
    <xf numFmtId="0" fontId="80" fillId="7" borderId="11" xfId="0" applyFont="1" applyFill="1" applyBorder="1" applyAlignment="1">
      <alignment horizontal="center" vertical="center" wrapText="1"/>
    </xf>
    <xf numFmtId="0" fontId="78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80" fillId="0" borderId="0" xfId="0" applyFont="1" applyAlignment="1">
      <alignment horizontal="left" vertical="center"/>
    </xf>
    <xf numFmtId="0" fontId="80" fillId="7" borderId="3" xfId="0" applyFont="1" applyFill="1" applyBorder="1" applyAlignment="1">
      <alignment horizontal="center" vertical="center" wrapText="1"/>
    </xf>
    <xf numFmtId="0" fontId="80" fillId="7" borderId="8" xfId="0" applyFont="1" applyFill="1" applyBorder="1" applyAlignment="1">
      <alignment horizontal="center" vertical="center" wrapText="1"/>
    </xf>
    <xf numFmtId="0" fontId="80" fillId="7" borderId="44" xfId="0" applyFont="1" applyFill="1" applyBorder="1" applyAlignment="1">
      <alignment horizontal="center" vertical="center" wrapText="1"/>
    </xf>
    <xf numFmtId="0" fontId="80" fillId="18" borderId="6" xfId="0" applyFont="1" applyFill="1" applyBorder="1" applyAlignment="1">
      <alignment horizontal="center" vertical="center"/>
    </xf>
    <xf numFmtId="0" fontId="80" fillId="18" borderId="12" xfId="0" applyFont="1" applyFill="1" applyBorder="1" applyAlignment="1">
      <alignment horizontal="center" vertical="center"/>
    </xf>
    <xf numFmtId="0" fontId="80" fillId="18" borderId="45" xfId="0" applyFont="1" applyFill="1" applyBorder="1" applyAlignment="1">
      <alignment horizontal="center" vertical="center"/>
    </xf>
    <xf numFmtId="0" fontId="80" fillId="18" borderId="43" xfId="0" applyFont="1" applyFill="1" applyBorder="1" applyAlignment="1">
      <alignment horizontal="center" vertical="center"/>
    </xf>
    <xf numFmtId="0" fontId="80" fillId="18" borderId="18" xfId="0" applyFont="1" applyFill="1" applyBorder="1" applyAlignment="1">
      <alignment horizontal="center" vertical="center"/>
    </xf>
    <xf numFmtId="0" fontId="80" fillId="18" borderId="47" xfId="0" applyFont="1" applyFill="1" applyBorder="1" applyAlignment="1">
      <alignment horizontal="center" vertical="center"/>
    </xf>
    <xf numFmtId="0" fontId="80" fillId="18" borderId="4" xfId="0" applyFont="1" applyFill="1" applyBorder="1" applyAlignment="1">
      <alignment horizontal="center" vertical="center" wrapText="1"/>
    </xf>
    <xf numFmtId="0" fontId="80" fillId="18" borderId="9" xfId="0" applyFont="1" applyFill="1" applyBorder="1" applyAlignment="1">
      <alignment horizontal="center" vertical="center" wrapText="1"/>
    </xf>
    <xf numFmtId="0" fontId="80" fillId="18" borderId="46" xfId="0" applyFont="1" applyFill="1" applyBorder="1" applyAlignment="1">
      <alignment horizontal="center" vertical="center" wrapText="1"/>
    </xf>
    <xf numFmtId="0" fontId="80" fillId="7" borderId="11" xfId="0" applyFont="1" applyFill="1" applyBorder="1" applyAlignment="1">
      <alignment horizontal="center" vertical="center"/>
    </xf>
    <xf numFmtId="0" fontId="80" fillId="7" borderId="12" xfId="0" applyFont="1" applyFill="1" applyBorder="1" applyAlignment="1">
      <alignment horizontal="center" vertical="center"/>
    </xf>
    <xf numFmtId="0" fontId="17" fillId="0" borderId="0" xfId="3" applyFont="1" applyAlignment="1">
      <alignment horizontal="center"/>
    </xf>
    <xf numFmtId="0" fontId="18" fillId="0" borderId="0" xfId="3" applyFont="1" applyAlignment="1">
      <alignment horizontal="center"/>
    </xf>
    <xf numFmtId="0" fontId="19" fillId="0" borderId="0" xfId="3" applyFont="1" applyAlignment="1">
      <alignment horizontal="center" wrapText="1"/>
    </xf>
    <xf numFmtId="0" fontId="25" fillId="0" borderId="15" xfId="3" applyFont="1" applyBorder="1" applyAlignment="1">
      <alignment horizontal="center"/>
    </xf>
    <xf numFmtId="0" fontId="25" fillId="0" borderId="0" xfId="3" applyFont="1" applyAlignment="1">
      <alignment horizontal="center" wrapText="1"/>
    </xf>
    <xf numFmtId="0" fontId="60" fillId="16" borderId="22" xfId="3" applyFont="1" applyFill="1" applyBorder="1" applyAlignment="1">
      <alignment horizontal="center" vertical="center"/>
    </xf>
    <xf numFmtId="0" fontId="60" fillId="5" borderId="21" xfId="3" applyFont="1" applyFill="1" applyBorder="1" applyAlignment="1">
      <alignment horizontal="center" vertical="center"/>
    </xf>
    <xf numFmtId="0" fontId="60" fillId="5" borderId="22" xfId="3" applyFont="1" applyFill="1" applyBorder="1" applyAlignment="1">
      <alignment horizontal="center" vertical="center"/>
    </xf>
    <xf numFmtId="0" fontId="60" fillId="3" borderId="24" xfId="3" applyFont="1" applyFill="1" applyBorder="1" applyAlignment="1">
      <alignment horizontal="center"/>
    </xf>
    <xf numFmtId="0" fontId="44" fillId="0" borderId="0" xfId="3" applyFont="1" applyAlignment="1">
      <alignment horizontal="center"/>
    </xf>
    <xf numFmtId="0" fontId="46" fillId="0" borderId="0" xfId="3" applyFont="1" applyAlignment="1">
      <alignment horizontal="center"/>
    </xf>
    <xf numFmtId="0" fontId="47" fillId="0" borderId="0" xfId="3" applyFont="1" applyAlignment="1">
      <alignment horizontal="center"/>
    </xf>
    <xf numFmtId="0" fontId="45" fillId="0" borderId="0" xfId="3" applyFont="1" applyAlignment="1">
      <alignment horizontal="center"/>
    </xf>
    <xf numFmtId="0" fontId="60" fillId="16" borderId="37" xfId="3" applyFont="1" applyFill="1" applyBorder="1" applyAlignment="1">
      <alignment horizontal="center" vertical="center"/>
    </xf>
    <xf numFmtId="0" fontId="60" fillId="16" borderId="38" xfId="3" applyFont="1" applyFill="1" applyBorder="1" applyAlignment="1">
      <alignment horizontal="center" vertical="center"/>
    </xf>
    <xf numFmtId="0" fontId="60" fillId="16" borderId="21" xfId="3" applyFont="1" applyFill="1" applyBorder="1" applyAlignment="1">
      <alignment horizontal="center" vertical="center"/>
    </xf>
    <xf numFmtId="0" fontId="60" fillId="16" borderId="23" xfId="3" applyFont="1" applyFill="1" applyBorder="1" applyAlignment="1">
      <alignment horizontal="center" vertical="center"/>
    </xf>
    <xf numFmtId="0" fontId="63" fillId="0" borderId="0" xfId="3" applyFont="1" applyAlignment="1">
      <alignment horizontal="center"/>
    </xf>
    <xf numFmtId="0" fontId="25" fillId="0" borderId="0" xfId="3" applyFont="1" applyAlignment="1">
      <alignment horizontal="center"/>
    </xf>
    <xf numFmtId="0" fontId="22" fillId="0" borderId="0" xfId="3" applyFont="1" applyAlignment="1">
      <alignment horizontal="center"/>
    </xf>
    <xf numFmtId="0" fontId="24" fillId="0" borderId="0" xfId="0" applyFont="1" applyAlignment="1">
      <alignment horizontal="center"/>
    </xf>
    <xf numFmtId="0" fontId="29" fillId="0" borderId="0" xfId="11" applyFont="1" applyAlignment="1">
      <alignment horizontal="center" vertical="center"/>
    </xf>
    <xf numFmtId="0" fontId="29" fillId="12" borderId="21" xfId="11" applyFont="1" applyFill="1" applyBorder="1" applyAlignment="1">
      <alignment horizontal="center"/>
    </xf>
    <xf numFmtId="0" fontId="29" fillId="12" borderId="22" xfId="11" applyFont="1" applyFill="1" applyBorder="1" applyAlignment="1">
      <alignment horizontal="center"/>
    </xf>
    <xf numFmtId="0" fontId="29" fillId="12" borderId="30" xfId="11" applyFont="1" applyFill="1" applyBorder="1" applyAlignment="1">
      <alignment horizontal="center"/>
    </xf>
    <xf numFmtId="0" fontId="28" fillId="0" borderId="0" xfId="11" applyFont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16" fillId="0" borderId="0" xfId="0" applyFont="1" applyAlignment="1">
      <alignment horizontal="left" vertical="center"/>
    </xf>
    <xf numFmtId="0" fontId="3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3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3">
    <cellStyle name="Millares" xfId="1" builtinId="3"/>
    <cellStyle name="Millares 2" xfId="5" xr:uid="{00000000-0005-0000-0000-000001000000}"/>
    <cellStyle name="Millares 2 2" xfId="8" xr:uid="{00000000-0005-0000-0000-000002000000}"/>
    <cellStyle name="Millares 2 3" xfId="7" xr:uid="{00000000-0005-0000-0000-000003000000}"/>
    <cellStyle name="Millares 2 4" xfId="9" xr:uid="{00000000-0005-0000-0000-000004000000}"/>
    <cellStyle name="Millares 9" xfId="4" xr:uid="{00000000-0005-0000-0000-000005000000}"/>
    <cellStyle name="Moneda" xfId="2" builtinId="4"/>
    <cellStyle name="Moneda 2" xfId="10" xr:uid="{00000000-0005-0000-0000-000007000000}"/>
    <cellStyle name="Normal" xfId="0" builtinId="0"/>
    <cellStyle name="Normal 2 2" xfId="3" xr:uid="{00000000-0005-0000-0000-000009000000}"/>
    <cellStyle name="Normal 3" xfId="11" xr:uid="{00000000-0005-0000-0000-00000A000000}"/>
    <cellStyle name="Normal 4" xfId="12" xr:uid="{00000000-0005-0000-0000-00000B000000}"/>
    <cellStyle name="Porcentaje" xfId="6" builtinId="5"/>
  </cellStyles>
  <dxfs count="8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49B110-24DA-40A8-9943-9FF92B1F1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5607BE-92A5-4B81-A479-418139764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E0403CC-CAEB-4D8D-8FED-461645B35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49ACDE6-4637-48EC-A32A-61000360E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0</xdr:rowOff>
    </xdr:from>
    <xdr:to>
      <xdr:col>4</xdr:col>
      <xdr:colOff>171450</xdr:colOff>
      <xdr:row>3</xdr:row>
      <xdr:rowOff>24107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D4690F66-BB3C-43E5-9499-5EB9C3DC0175}"/>
            </a:ext>
          </a:extLst>
        </xdr:cNvPr>
        <xdr:cNvGrpSpPr>
          <a:grpSpLocks/>
        </xdr:cNvGrpSpPr>
      </xdr:nvGrpSpPr>
      <xdr:grpSpPr bwMode="auto">
        <a:xfrm>
          <a:off x="266700" y="0"/>
          <a:ext cx="2667000" cy="595607"/>
          <a:chOff x="0" y="0"/>
          <a:chExt cx="3852" cy="886"/>
        </a:xfrm>
      </xdr:grpSpPr>
      <xdr:pic>
        <xdr:nvPicPr>
          <xdr:cNvPr id="3" name="Picture 4">
            <a:extLst>
              <a:ext uri="{FF2B5EF4-FFF2-40B4-BE49-F238E27FC236}">
                <a16:creationId xmlns:a16="http://schemas.microsoft.com/office/drawing/2014/main" id="{DF665FF5-9FA4-1836-5E5B-B5392E198CF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" name="Freeform 3">
            <a:extLst>
              <a:ext uri="{FF2B5EF4-FFF2-40B4-BE49-F238E27FC236}">
                <a16:creationId xmlns:a16="http://schemas.microsoft.com/office/drawing/2014/main" id="{4B54F5E1-6C58-20CD-A671-35570AA8F78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" name="Group 2">
          <a:extLst>
            <a:ext uri="{FF2B5EF4-FFF2-40B4-BE49-F238E27FC236}">
              <a16:creationId xmlns:a16="http://schemas.microsoft.com/office/drawing/2014/main" id="{D289C1CC-FC47-4957-9212-DC29D1CCBDCF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" name="Picture 4">
            <a:extLst>
              <a:ext uri="{FF2B5EF4-FFF2-40B4-BE49-F238E27FC236}">
                <a16:creationId xmlns:a16="http://schemas.microsoft.com/office/drawing/2014/main" id="{B3C20A88-4269-FA15-7BFF-AA95B565392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" name="Freeform 3">
            <a:extLst>
              <a:ext uri="{FF2B5EF4-FFF2-40B4-BE49-F238E27FC236}">
                <a16:creationId xmlns:a16="http://schemas.microsoft.com/office/drawing/2014/main" id="{F1CAE71E-1698-CC9F-17FC-EA7E0D804B82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" name="Group 2">
          <a:extLst>
            <a:ext uri="{FF2B5EF4-FFF2-40B4-BE49-F238E27FC236}">
              <a16:creationId xmlns:a16="http://schemas.microsoft.com/office/drawing/2014/main" id="{82AD4D66-02B6-45DE-9B8B-46F1A53AC81C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" name="Picture 4">
            <a:extLst>
              <a:ext uri="{FF2B5EF4-FFF2-40B4-BE49-F238E27FC236}">
                <a16:creationId xmlns:a16="http://schemas.microsoft.com/office/drawing/2014/main" id="{0FB5E4AC-1C93-220D-4C95-250046F8688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Freeform 3">
            <a:extLst>
              <a:ext uri="{FF2B5EF4-FFF2-40B4-BE49-F238E27FC236}">
                <a16:creationId xmlns:a16="http://schemas.microsoft.com/office/drawing/2014/main" id="{392244FC-99E1-C22D-8B60-D1B0A8EC013E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" name="Group 2">
          <a:extLst>
            <a:ext uri="{FF2B5EF4-FFF2-40B4-BE49-F238E27FC236}">
              <a16:creationId xmlns:a16="http://schemas.microsoft.com/office/drawing/2014/main" id="{28E4C610-156B-4E0A-BA2D-4E98062483C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" name="Picture 4">
            <a:extLst>
              <a:ext uri="{FF2B5EF4-FFF2-40B4-BE49-F238E27FC236}">
                <a16:creationId xmlns:a16="http://schemas.microsoft.com/office/drawing/2014/main" id="{E4E54573-46C0-849D-9DB8-25CF0764745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" name="Freeform 3">
            <a:extLst>
              <a:ext uri="{FF2B5EF4-FFF2-40B4-BE49-F238E27FC236}">
                <a16:creationId xmlns:a16="http://schemas.microsoft.com/office/drawing/2014/main" id="{81390554-766B-2DA1-F9C3-D539102589E1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" name="Group 2">
          <a:extLst>
            <a:ext uri="{FF2B5EF4-FFF2-40B4-BE49-F238E27FC236}">
              <a16:creationId xmlns:a16="http://schemas.microsoft.com/office/drawing/2014/main" id="{614BE6D1-5547-401F-BBE4-0F8A8AABE142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" name="Picture 4">
            <a:extLst>
              <a:ext uri="{FF2B5EF4-FFF2-40B4-BE49-F238E27FC236}">
                <a16:creationId xmlns:a16="http://schemas.microsoft.com/office/drawing/2014/main" id="{4A98D25E-1C5E-C577-74E9-47678453381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6" name="Freeform 3">
            <a:extLst>
              <a:ext uri="{FF2B5EF4-FFF2-40B4-BE49-F238E27FC236}">
                <a16:creationId xmlns:a16="http://schemas.microsoft.com/office/drawing/2014/main" id="{3650AE55-065C-28C7-4C61-3C38FFE2940B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7" name="Group 2">
          <a:extLst>
            <a:ext uri="{FF2B5EF4-FFF2-40B4-BE49-F238E27FC236}">
              <a16:creationId xmlns:a16="http://schemas.microsoft.com/office/drawing/2014/main" id="{C50393EC-E8A1-44F9-B14D-3E82CB6D71D6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8" name="Picture 4">
            <a:extLst>
              <a:ext uri="{FF2B5EF4-FFF2-40B4-BE49-F238E27FC236}">
                <a16:creationId xmlns:a16="http://schemas.microsoft.com/office/drawing/2014/main" id="{D38CA6BE-B7F3-F13E-B423-F9282F7AB0C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9" name="Freeform 3">
            <a:extLst>
              <a:ext uri="{FF2B5EF4-FFF2-40B4-BE49-F238E27FC236}">
                <a16:creationId xmlns:a16="http://schemas.microsoft.com/office/drawing/2014/main" id="{32416147-CAB8-6E5B-1608-87EF3E9BF5F0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20" name="Group 2">
          <a:extLst>
            <a:ext uri="{FF2B5EF4-FFF2-40B4-BE49-F238E27FC236}">
              <a16:creationId xmlns:a16="http://schemas.microsoft.com/office/drawing/2014/main" id="{B273DF1C-A980-44FD-89AF-34B6B6446B3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21" name="Picture 4">
            <a:extLst>
              <a:ext uri="{FF2B5EF4-FFF2-40B4-BE49-F238E27FC236}">
                <a16:creationId xmlns:a16="http://schemas.microsoft.com/office/drawing/2014/main" id="{6D1B54EF-1814-F234-19D3-F06262FBFF2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2" name="Freeform 3">
            <a:extLst>
              <a:ext uri="{FF2B5EF4-FFF2-40B4-BE49-F238E27FC236}">
                <a16:creationId xmlns:a16="http://schemas.microsoft.com/office/drawing/2014/main" id="{8255813D-55D7-9242-FF61-CBEF6878069A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23" name="Group 2">
          <a:extLst>
            <a:ext uri="{FF2B5EF4-FFF2-40B4-BE49-F238E27FC236}">
              <a16:creationId xmlns:a16="http://schemas.microsoft.com/office/drawing/2014/main" id="{24CB2648-63C6-4384-B9B1-B41741AE4435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24" name="Picture 4">
            <a:extLst>
              <a:ext uri="{FF2B5EF4-FFF2-40B4-BE49-F238E27FC236}">
                <a16:creationId xmlns:a16="http://schemas.microsoft.com/office/drawing/2014/main" id="{2EE48DC2-69B6-80F5-AA54-E12D619E6F9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5" name="Freeform 3">
            <a:extLst>
              <a:ext uri="{FF2B5EF4-FFF2-40B4-BE49-F238E27FC236}">
                <a16:creationId xmlns:a16="http://schemas.microsoft.com/office/drawing/2014/main" id="{87A69DF8-2436-F0D7-F1E0-A19F4D3688D9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26" name="Group 2">
          <a:extLst>
            <a:ext uri="{FF2B5EF4-FFF2-40B4-BE49-F238E27FC236}">
              <a16:creationId xmlns:a16="http://schemas.microsoft.com/office/drawing/2014/main" id="{BE00A376-737B-42E6-8C3C-626833F7A4A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27" name="Picture 4">
            <a:extLst>
              <a:ext uri="{FF2B5EF4-FFF2-40B4-BE49-F238E27FC236}">
                <a16:creationId xmlns:a16="http://schemas.microsoft.com/office/drawing/2014/main" id="{843DD2D9-E0C7-3F44-DD74-BD8AA466074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8" name="Freeform 3">
            <a:extLst>
              <a:ext uri="{FF2B5EF4-FFF2-40B4-BE49-F238E27FC236}">
                <a16:creationId xmlns:a16="http://schemas.microsoft.com/office/drawing/2014/main" id="{116FC23E-E2F3-E3CB-AC9B-8D544906DBA0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29" name="Group 2">
          <a:extLst>
            <a:ext uri="{FF2B5EF4-FFF2-40B4-BE49-F238E27FC236}">
              <a16:creationId xmlns:a16="http://schemas.microsoft.com/office/drawing/2014/main" id="{2CA5265B-CF1A-4FED-8F52-9F6AE3C3F1B1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30" name="Picture 4">
            <a:extLst>
              <a:ext uri="{FF2B5EF4-FFF2-40B4-BE49-F238E27FC236}">
                <a16:creationId xmlns:a16="http://schemas.microsoft.com/office/drawing/2014/main" id="{3B807FC2-E2B3-D981-6B16-D2C134A143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31" name="Freeform 3">
            <a:extLst>
              <a:ext uri="{FF2B5EF4-FFF2-40B4-BE49-F238E27FC236}">
                <a16:creationId xmlns:a16="http://schemas.microsoft.com/office/drawing/2014/main" id="{470D4432-E598-0AC1-7B51-3193C155725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32" name="Group 2">
          <a:extLst>
            <a:ext uri="{FF2B5EF4-FFF2-40B4-BE49-F238E27FC236}">
              <a16:creationId xmlns:a16="http://schemas.microsoft.com/office/drawing/2014/main" id="{450BDCF7-F6F3-491D-87CB-6978DAADE56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33" name="Picture 4">
            <a:extLst>
              <a:ext uri="{FF2B5EF4-FFF2-40B4-BE49-F238E27FC236}">
                <a16:creationId xmlns:a16="http://schemas.microsoft.com/office/drawing/2014/main" id="{AC317DBB-9D15-BA3A-9814-38F28DE700E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34" name="Freeform 3">
            <a:extLst>
              <a:ext uri="{FF2B5EF4-FFF2-40B4-BE49-F238E27FC236}">
                <a16:creationId xmlns:a16="http://schemas.microsoft.com/office/drawing/2014/main" id="{73CABDDE-4CDB-2946-FF7D-0DEC1A8EF16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35" name="Group 2">
          <a:extLst>
            <a:ext uri="{FF2B5EF4-FFF2-40B4-BE49-F238E27FC236}">
              <a16:creationId xmlns:a16="http://schemas.microsoft.com/office/drawing/2014/main" id="{40BDA0D7-1F99-4F20-8FF3-2D2E8BA98299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36" name="Picture 4">
            <a:extLst>
              <a:ext uri="{FF2B5EF4-FFF2-40B4-BE49-F238E27FC236}">
                <a16:creationId xmlns:a16="http://schemas.microsoft.com/office/drawing/2014/main" id="{2B315D19-069A-F799-F15B-64105484066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37" name="Freeform 3">
            <a:extLst>
              <a:ext uri="{FF2B5EF4-FFF2-40B4-BE49-F238E27FC236}">
                <a16:creationId xmlns:a16="http://schemas.microsoft.com/office/drawing/2014/main" id="{41DB634C-6806-7133-E244-6B055204ABF7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38" name="Group 2">
          <a:extLst>
            <a:ext uri="{FF2B5EF4-FFF2-40B4-BE49-F238E27FC236}">
              <a16:creationId xmlns:a16="http://schemas.microsoft.com/office/drawing/2014/main" id="{C3B40189-ACB7-45E7-9751-49352D418ACF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39" name="Picture 4">
            <a:extLst>
              <a:ext uri="{FF2B5EF4-FFF2-40B4-BE49-F238E27FC236}">
                <a16:creationId xmlns:a16="http://schemas.microsoft.com/office/drawing/2014/main" id="{40FD3FA1-0EAD-833E-9301-30F925FCC0A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0" name="Freeform 3">
            <a:extLst>
              <a:ext uri="{FF2B5EF4-FFF2-40B4-BE49-F238E27FC236}">
                <a16:creationId xmlns:a16="http://schemas.microsoft.com/office/drawing/2014/main" id="{B5C2EA04-8C6E-E21E-1D19-C91B84403614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41" name="Group 2">
          <a:extLst>
            <a:ext uri="{FF2B5EF4-FFF2-40B4-BE49-F238E27FC236}">
              <a16:creationId xmlns:a16="http://schemas.microsoft.com/office/drawing/2014/main" id="{B79A9A91-DE76-42C9-BCBE-8B20F55BF926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42" name="Picture 4">
            <a:extLst>
              <a:ext uri="{FF2B5EF4-FFF2-40B4-BE49-F238E27FC236}">
                <a16:creationId xmlns:a16="http://schemas.microsoft.com/office/drawing/2014/main" id="{404A9B63-EDD4-D309-99BB-B15FD91C2446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3" name="Freeform 3">
            <a:extLst>
              <a:ext uri="{FF2B5EF4-FFF2-40B4-BE49-F238E27FC236}">
                <a16:creationId xmlns:a16="http://schemas.microsoft.com/office/drawing/2014/main" id="{468DC34D-E0DD-F9C9-F3A1-40CA9C04D0D7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44" name="Group 2">
          <a:extLst>
            <a:ext uri="{FF2B5EF4-FFF2-40B4-BE49-F238E27FC236}">
              <a16:creationId xmlns:a16="http://schemas.microsoft.com/office/drawing/2014/main" id="{E031170A-5D14-4EA3-94B7-D8AC6850FC85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45" name="Picture 4">
            <a:extLst>
              <a:ext uri="{FF2B5EF4-FFF2-40B4-BE49-F238E27FC236}">
                <a16:creationId xmlns:a16="http://schemas.microsoft.com/office/drawing/2014/main" id="{DE5E8A5E-29E2-4F52-4F4A-574269232C3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6" name="Freeform 3">
            <a:extLst>
              <a:ext uri="{FF2B5EF4-FFF2-40B4-BE49-F238E27FC236}">
                <a16:creationId xmlns:a16="http://schemas.microsoft.com/office/drawing/2014/main" id="{BD92377C-6834-438C-51EF-265C3A1C07F5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47" name="Group 2">
          <a:extLst>
            <a:ext uri="{FF2B5EF4-FFF2-40B4-BE49-F238E27FC236}">
              <a16:creationId xmlns:a16="http://schemas.microsoft.com/office/drawing/2014/main" id="{87170134-C429-4BF7-A762-D8FAE7546463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48" name="Picture 4">
            <a:extLst>
              <a:ext uri="{FF2B5EF4-FFF2-40B4-BE49-F238E27FC236}">
                <a16:creationId xmlns:a16="http://schemas.microsoft.com/office/drawing/2014/main" id="{E755A57A-E396-88AF-DFB5-7A815B9A38B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9" name="Freeform 3">
            <a:extLst>
              <a:ext uri="{FF2B5EF4-FFF2-40B4-BE49-F238E27FC236}">
                <a16:creationId xmlns:a16="http://schemas.microsoft.com/office/drawing/2014/main" id="{FCFA1B09-96B6-FEB8-FE5A-545BF2F3B72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0" name="Group 2">
          <a:extLst>
            <a:ext uri="{FF2B5EF4-FFF2-40B4-BE49-F238E27FC236}">
              <a16:creationId xmlns:a16="http://schemas.microsoft.com/office/drawing/2014/main" id="{AFFADE41-46C8-4014-BBF8-AA1BB6EEDE2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51" name="Picture 4">
            <a:extLst>
              <a:ext uri="{FF2B5EF4-FFF2-40B4-BE49-F238E27FC236}">
                <a16:creationId xmlns:a16="http://schemas.microsoft.com/office/drawing/2014/main" id="{707E300A-E5D2-83C2-9A75-F930BBA8F63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2" name="Freeform 3">
            <a:extLst>
              <a:ext uri="{FF2B5EF4-FFF2-40B4-BE49-F238E27FC236}">
                <a16:creationId xmlns:a16="http://schemas.microsoft.com/office/drawing/2014/main" id="{14C81B5D-8887-3341-6E8A-4267749FEF3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3" name="Group 2">
          <a:extLst>
            <a:ext uri="{FF2B5EF4-FFF2-40B4-BE49-F238E27FC236}">
              <a16:creationId xmlns:a16="http://schemas.microsoft.com/office/drawing/2014/main" id="{E8D9703B-B2A4-471A-AC81-27BEAFAA212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54" name="Picture 4">
            <a:extLst>
              <a:ext uri="{FF2B5EF4-FFF2-40B4-BE49-F238E27FC236}">
                <a16:creationId xmlns:a16="http://schemas.microsoft.com/office/drawing/2014/main" id="{CF835A39-FF99-7822-3760-03B0A35EB2F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5" name="Freeform 3">
            <a:extLst>
              <a:ext uri="{FF2B5EF4-FFF2-40B4-BE49-F238E27FC236}">
                <a16:creationId xmlns:a16="http://schemas.microsoft.com/office/drawing/2014/main" id="{6690BA1E-3B80-0D7E-07F7-B06AAAFE155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6" name="Group 2">
          <a:extLst>
            <a:ext uri="{FF2B5EF4-FFF2-40B4-BE49-F238E27FC236}">
              <a16:creationId xmlns:a16="http://schemas.microsoft.com/office/drawing/2014/main" id="{CFF0A0DE-3BE4-4BC3-8863-7033D1070F21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57" name="Picture 4">
            <a:extLst>
              <a:ext uri="{FF2B5EF4-FFF2-40B4-BE49-F238E27FC236}">
                <a16:creationId xmlns:a16="http://schemas.microsoft.com/office/drawing/2014/main" id="{226AD526-BD89-9625-5F3B-768011E4F83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8" name="Freeform 3">
            <a:extLst>
              <a:ext uri="{FF2B5EF4-FFF2-40B4-BE49-F238E27FC236}">
                <a16:creationId xmlns:a16="http://schemas.microsoft.com/office/drawing/2014/main" id="{3A68CAA1-FB58-64C1-732A-6274FDA5C02D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59" name="Group 2">
          <a:extLst>
            <a:ext uri="{FF2B5EF4-FFF2-40B4-BE49-F238E27FC236}">
              <a16:creationId xmlns:a16="http://schemas.microsoft.com/office/drawing/2014/main" id="{FB0CC485-29DD-4029-A205-58AE7BEA725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0" name="Picture 4">
            <a:extLst>
              <a:ext uri="{FF2B5EF4-FFF2-40B4-BE49-F238E27FC236}">
                <a16:creationId xmlns:a16="http://schemas.microsoft.com/office/drawing/2014/main" id="{30397552-D258-CD1F-92A2-13A04AA98EA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1" name="Freeform 3">
            <a:extLst>
              <a:ext uri="{FF2B5EF4-FFF2-40B4-BE49-F238E27FC236}">
                <a16:creationId xmlns:a16="http://schemas.microsoft.com/office/drawing/2014/main" id="{B00D19D4-2D20-2FDA-7DA3-F0C571B54C12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62" name="Group 2">
          <a:extLst>
            <a:ext uri="{FF2B5EF4-FFF2-40B4-BE49-F238E27FC236}">
              <a16:creationId xmlns:a16="http://schemas.microsoft.com/office/drawing/2014/main" id="{70067B2C-8AD9-4FA8-BC7A-3C32C1E195E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3" name="Picture 4">
            <a:extLst>
              <a:ext uri="{FF2B5EF4-FFF2-40B4-BE49-F238E27FC236}">
                <a16:creationId xmlns:a16="http://schemas.microsoft.com/office/drawing/2014/main" id="{FE373290-8641-605C-BD40-79AD56B127D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4" name="Freeform 3">
            <a:extLst>
              <a:ext uri="{FF2B5EF4-FFF2-40B4-BE49-F238E27FC236}">
                <a16:creationId xmlns:a16="http://schemas.microsoft.com/office/drawing/2014/main" id="{02C82A71-4221-6E32-6A62-8E9E3D1345E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65" name="Group 2">
          <a:extLst>
            <a:ext uri="{FF2B5EF4-FFF2-40B4-BE49-F238E27FC236}">
              <a16:creationId xmlns:a16="http://schemas.microsoft.com/office/drawing/2014/main" id="{B0CA11FE-1A0C-44E0-8681-6507C83AEEB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6" name="Picture 4">
            <a:extLst>
              <a:ext uri="{FF2B5EF4-FFF2-40B4-BE49-F238E27FC236}">
                <a16:creationId xmlns:a16="http://schemas.microsoft.com/office/drawing/2014/main" id="{2AD15927-9137-ED60-D7D2-C317B5FD2B1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7" name="Freeform 3">
            <a:extLst>
              <a:ext uri="{FF2B5EF4-FFF2-40B4-BE49-F238E27FC236}">
                <a16:creationId xmlns:a16="http://schemas.microsoft.com/office/drawing/2014/main" id="{E6310C0C-DAB0-2B0A-E6D0-F98DF9A8EA0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68" name="Group 2">
          <a:extLst>
            <a:ext uri="{FF2B5EF4-FFF2-40B4-BE49-F238E27FC236}">
              <a16:creationId xmlns:a16="http://schemas.microsoft.com/office/drawing/2014/main" id="{11A35712-2A0A-40E9-B283-8E812C3E0940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69" name="Picture 4">
            <a:extLst>
              <a:ext uri="{FF2B5EF4-FFF2-40B4-BE49-F238E27FC236}">
                <a16:creationId xmlns:a16="http://schemas.microsoft.com/office/drawing/2014/main" id="{E3C3A158-5DC8-4088-6355-773738C360F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0" name="Freeform 3">
            <a:extLst>
              <a:ext uri="{FF2B5EF4-FFF2-40B4-BE49-F238E27FC236}">
                <a16:creationId xmlns:a16="http://schemas.microsoft.com/office/drawing/2014/main" id="{17B20C1F-9721-16A0-1215-4B0721A3ACF6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71" name="Group 2">
          <a:extLst>
            <a:ext uri="{FF2B5EF4-FFF2-40B4-BE49-F238E27FC236}">
              <a16:creationId xmlns:a16="http://schemas.microsoft.com/office/drawing/2014/main" id="{6EAAA994-0BB0-47BB-9EAB-915AA41C2C91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72" name="Picture 4">
            <a:extLst>
              <a:ext uri="{FF2B5EF4-FFF2-40B4-BE49-F238E27FC236}">
                <a16:creationId xmlns:a16="http://schemas.microsoft.com/office/drawing/2014/main" id="{F552F5AB-C8ED-6605-781A-FE53E7381D9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3" name="Freeform 3">
            <a:extLst>
              <a:ext uri="{FF2B5EF4-FFF2-40B4-BE49-F238E27FC236}">
                <a16:creationId xmlns:a16="http://schemas.microsoft.com/office/drawing/2014/main" id="{0F3F9138-C419-61BD-EE82-482CED58A524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74" name="Group 2">
          <a:extLst>
            <a:ext uri="{FF2B5EF4-FFF2-40B4-BE49-F238E27FC236}">
              <a16:creationId xmlns:a16="http://schemas.microsoft.com/office/drawing/2014/main" id="{0CE9DF2F-8FC6-4EAB-84FC-9C8CABD082C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75" name="Picture 4">
            <a:extLst>
              <a:ext uri="{FF2B5EF4-FFF2-40B4-BE49-F238E27FC236}">
                <a16:creationId xmlns:a16="http://schemas.microsoft.com/office/drawing/2014/main" id="{7179386B-F012-2DC7-636B-ED7CDCCB6B2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6" name="Freeform 3">
            <a:extLst>
              <a:ext uri="{FF2B5EF4-FFF2-40B4-BE49-F238E27FC236}">
                <a16:creationId xmlns:a16="http://schemas.microsoft.com/office/drawing/2014/main" id="{F7516C2E-5715-12AE-7070-7C9C5491CD0D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77" name="Group 2">
          <a:extLst>
            <a:ext uri="{FF2B5EF4-FFF2-40B4-BE49-F238E27FC236}">
              <a16:creationId xmlns:a16="http://schemas.microsoft.com/office/drawing/2014/main" id="{314343E2-B76F-4D14-8B77-4BF2023E60C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78" name="Picture 4">
            <a:extLst>
              <a:ext uri="{FF2B5EF4-FFF2-40B4-BE49-F238E27FC236}">
                <a16:creationId xmlns:a16="http://schemas.microsoft.com/office/drawing/2014/main" id="{5E6C8FEB-9751-29E4-542E-A55AAFED535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9" name="Freeform 3">
            <a:extLst>
              <a:ext uri="{FF2B5EF4-FFF2-40B4-BE49-F238E27FC236}">
                <a16:creationId xmlns:a16="http://schemas.microsoft.com/office/drawing/2014/main" id="{D93AFDDA-4AEE-EDA2-AE45-1B02455F5EC8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0" name="Group 2">
          <a:extLst>
            <a:ext uri="{FF2B5EF4-FFF2-40B4-BE49-F238E27FC236}">
              <a16:creationId xmlns:a16="http://schemas.microsoft.com/office/drawing/2014/main" id="{0A82F435-2660-439D-8F31-57A81278AD1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81" name="Picture 4">
            <a:extLst>
              <a:ext uri="{FF2B5EF4-FFF2-40B4-BE49-F238E27FC236}">
                <a16:creationId xmlns:a16="http://schemas.microsoft.com/office/drawing/2014/main" id="{06E1DEEB-CB13-4418-F0E3-0926263D14F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2" name="Freeform 3">
            <a:extLst>
              <a:ext uri="{FF2B5EF4-FFF2-40B4-BE49-F238E27FC236}">
                <a16:creationId xmlns:a16="http://schemas.microsoft.com/office/drawing/2014/main" id="{073B82FB-A490-1289-D418-D0DDBEDF5501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3" name="Group 2">
          <a:extLst>
            <a:ext uri="{FF2B5EF4-FFF2-40B4-BE49-F238E27FC236}">
              <a16:creationId xmlns:a16="http://schemas.microsoft.com/office/drawing/2014/main" id="{F6E60A15-74B1-434A-8DFC-50F60A4E0B2D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84" name="Picture 4">
            <a:extLst>
              <a:ext uri="{FF2B5EF4-FFF2-40B4-BE49-F238E27FC236}">
                <a16:creationId xmlns:a16="http://schemas.microsoft.com/office/drawing/2014/main" id="{7722691B-C02F-6C47-81F7-99D1197A17F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5" name="Freeform 3">
            <a:extLst>
              <a:ext uri="{FF2B5EF4-FFF2-40B4-BE49-F238E27FC236}">
                <a16:creationId xmlns:a16="http://schemas.microsoft.com/office/drawing/2014/main" id="{B9457091-3F18-1F4B-71CD-06DDE9F764CF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6" name="Group 2">
          <a:extLst>
            <a:ext uri="{FF2B5EF4-FFF2-40B4-BE49-F238E27FC236}">
              <a16:creationId xmlns:a16="http://schemas.microsoft.com/office/drawing/2014/main" id="{65D0935B-C9F9-4823-94C9-26A12E7DE52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87" name="Picture 4">
            <a:extLst>
              <a:ext uri="{FF2B5EF4-FFF2-40B4-BE49-F238E27FC236}">
                <a16:creationId xmlns:a16="http://schemas.microsoft.com/office/drawing/2014/main" id="{B46C6B89-2185-7A9D-98C1-11BAC60B96C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8" name="Freeform 3">
            <a:extLst>
              <a:ext uri="{FF2B5EF4-FFF2-40B4-BE49-F238E27FC236}">
                <a16:creationId xmlns:a16="http://schemas.microsoft.com/office/drawing/2014/main" id="{292848A4-2C07-4733-4187-26BE7ED1BAF2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89" name="Group 2">
          <a:extLst>
            <a:ext uri="{FF2B5EF4-FFF2-40B4-BE49-F238E27FC236}">
              <a16:creationId xmlns:a16="http://schemas.microsoft.com/office/drawing/2014/main" id="{64134DE6-801F-414A-AC73-E5D86BBA8C4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0" name="Picture 4">
            <a:extLst>
              <a:ext uri="{FF2B5EF4-FFF2-40B4-BE49-F238E27FC236}">
                <a16:creationId xmlns:a16="http://schemas.microsoft.com/office/drawing/2014/main" id="{D0470B16-BE24-7EDE-3E68-7681A2EB9E5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91" name="Freeform 3">
            <a:extLst>
              <a:ext uri="{FF2B5EF4-FFF2-40B4-BE49-F238E27FC236}">
                <a16:creationId xmlns:a16="http://schemas.microsoft.com/office/drawing/2014/main" id="{232BEF7E-1767-B90A-72C6-B201E0F3362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92" name="Group 2">
          <a:extLst>
            <a:ext uri="{FF2B5EF4-FFF2-40B4-BE49-F238E27FC236}">
              <a16:creationId xmlns:a16="http://schemas.microsoft.com/office/drawing/2014/main" id="{232144FB-341F-4192-9EE5-7074088391AC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3" name="Picture 4">
            <a:extLst>
              <a:ext uri="{FF2B5EF4-FFF2-40B4-BE49-F238E27FC236}">
                <a16:creationId xmlns:a16="http://schemas.microsoft.com/office/drawing/2014/main" id="{2CBF58EA-3DC9-2A4A-9DC6-C6BFB2C1E0F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94" name="Freeform 3">
            <a:extLst>
              <a:ext uri="{FF2B5EF4-FFF2-40B4-BE49-F238E27FC236}">
                <a16:creationId xmlns:a16="http://schemas.microsoft.com/office/drawing/2014/main" id="{6DBD7B0B-404D-BD6A-0DDC-6F6A1B2E47A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95" name="Group 2">
          <a:extLst>
            <a:ext uri="{FF2B5EF4-FFF2-40B4-BE49-F238E27FC236}">
              <a16:creationId xmlns:a16="http://schemas.microsoft.com/office/drawing/2014/main" id="{90C9A8E2-2728-491D-A0CB-3AFBA957676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6" name="Picture 4">
            <a:extLst>
              <a:ext uri="{FF2B5EF4-FFF2-40B4-BE49-F238E27FC236}">
                <a16:creationId xmlns:a16="http://schemas.microsoft.com/office/drawing/2014/main" id="{4E122D37-74D1-B1FB-35B7-3207D833EE2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97" name="Freeform 3">
            <a:extLst>
              <a:ext uri="{FF2B5EF4-FFF2-40B4-BE49-F238E27FC236}">
                <a16:creationId xmlns:a16="http://schemas.microsoft.com/office/drawing/2014/main" id="{19DD4C5E-3492-C982-DDB4-CB627C9CBA26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98" name="Group 2">
          <a:extLst>
            <a:ext uri="{FF2B5EF4-FFF2-40B4-BE49-F238E27FC236}">
              <a16:creationId xmlns:a16="http://schemas.microsoft.com/office/drawing/2014/main" id="{EC871C4E-6D64-4D5C-BD0F-1AC3D7C225CE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99" name="Picture 4">
            <a:extLst>
              <a:ext uri="{FF2B5EF4-FFF2-40B4-BE49-F238E27FC236}">
                <a16:creationId xmlns:a16="http://schemas.microsoft.com/office/drawing/2014/main" id="{DC74149F-3A8D-24C9-37CC-90BD8BFE197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0" name="Freeform 3">
            <a:extLst>
              <a:ext uri="{FF2B5EF4-FFF2-40B4-BE49-F238E27FC236}">
                <a16:creationId xmlns:a16="http://schemas.microsoft.com/office/drawing/2014/main" id="{2906151E-7F03-8B71-47B5-21C405274AB4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01" name="Group 2">
          <a:extLst>
            <a:ext uri="{FF2B5EF4-FFF2-40B4-BE49-F238E27FC236}">
              <a16:creationId xmlns:a16="http://schemas.microsoft.com/office/drawing/2014/main" id="{DE0D194D-9770-4ADC-AF72-162ADD3494D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02" name="Picture 4">
            <a:extLst>
              <a:ext uri="{FF2B5EF4-FFF2-40B4-BE49-F238E27FC236}">
                <a16:creationId xmlns:a16="http://schemas.microsoft.com/office/drawing/2014/main" id="{2FA3574E-BBC3-F3BA-D2D1-555AE128689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3" name="Freeform 3">
            <a:extLst>
              <a:ext uri="{FF2B5EF4-FFF2-40B4-BE49-F238E27FC236}">
                <a16:creationId xmlns:a16="http://schemas.microsoft.com/office/drawing/2014/main" id="{E865154D-E163-AED7-1BA4-57E48D918B23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04" name="Group 2">
          <a:extLst>
            <a:ext uri="{FF2B5EF4-FFF2-40B4-BE49-F238E27FC236}">
              <a16:creationId xmlns:a16="http://schemas.microsoft.com/office/drawing/2014/main" id="{90CF3FA0-2A1C-4F25-8DA4-AA1CA80D0C6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05" name="Picture 4">
            <a:extLst>
              <a:ext uri="{FF2B5EF4-FFF2-40B4-BE49-F238E27FC236}">
                <a16:creationId xmlns:a16="http://schemas.microsoft.com/office/drawing/2014/main" id="{A84C7070-66F4-8EDC-968A-01DD4B08D06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6" name="Freeform 3">
            <a:extLst>
              <a:ext uri="{FF2B5EF4-FFF2-40B4-BE49-F238E27FC236}">
                <a16:creationId xmlns:a16="http://schemas.microsoft.com/office/drawing/2014/main" id="{FB897809-2F8A-29C2-4AA1-D6C2099CE285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07" name="Group 2">
          <a:extLst>
            <a:ext uri="{FF2B5EF4-FFF2-40B4-BE49-F238E27FC236}">
              <a16:creationId xmlns:a16="http://schemas.microsoft.com/office/drawing/2014/main" id="{F141EC61-D788-4EB9-9690-C311A45AB36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08" name="Picture 4">
            <a:extLst>
              <a:ext uri="{FF2B5EF4-FFF2-40B4-BE49-F238E27FC236}">
                <a16:creationId xmlns:a16="http://schemas.microsoft.com/office/drawing/2014/main" id="{97946991-4353-BE4B-27FE-2E3875D3331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9" name="Freeform 3">
            <a:extLst>
              <a:ext uri="{FF2B5EF4-FFF2-40B4-BE49-F238E27FC236}">
                <a16:creationId xmlns:a16="http://schemas.microsoft.com/office/drawing/2014/main" id="{3BB1E855-9800-57C9-E5B7-05C828BFB91E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0" name="Group 2">
          <a:extLst>
            <a:ext uri="{FF2B5EF4-FFF2-40B4-BE49-F238E27FC236}">
              <a16:creationId xmlns:a16="http://schemas.microsoft.com/office/drawing/2014/main" id="{72FCEA98-9127-42DC-ADA7-40FD636AE0B5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11" name="Picture 4">
            <a:extLst>
              <a:ext uri="{FF2B5EF4-FFF2-40B4-BE49-F238E27FC236}">
                <a16:creationId xmlns:a16="http://schemas.microsoft.com/office/drawing/2014/main" id="{5AEA21F0-0D94-C57B-B45E-D465DB949771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12" name="Freeform 3">
            <a:extLst>
              <a:ext uri="{FF2B5EF4-FFF2-40B4-BE49-F238E27FC236}">
                <a16:creationId xmlns:a16="http://schemas.microsoft.com/office/drawing/2014/main" id="{2B4E69A9-C19C-0B42-6CAB-54A8D98F9DDF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3" name="Group 2">
          <a:extLst>
            <a:ext uri="{FF2B5EF4-FFF2-40B4-BE49-F238E27FC236}">
              <a16:creationId xmlns:a16="http://schemas.microsoft.com/office/drawing/2014/main" id="{BC70A922-3A9C-40AD-9A84-5F02B994B29A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14" name="Picture 4">
            <a:extLst>
              <a:ext uri="{FF2B5EF4-FFF2-40B4-BE49-F238E27FC236}">
                <a16:creationId xmlns:a16="http://schemas.microsoft.com/office/drawing/2014/main" id="{486D9A0D-2D95-0C77-C1F9-D1FC7E77367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15" name="Freeform 3">
            <a:extLst>
              <a:ext uri="{FF2B5EF4-FFF2-40B4-BE49-F238E27FC236}">
                <a16:creationId xmlns:a16="http://schemas.microsoft.com/office/drawing/2014/main" id="{2CC3469F-D1A4-A506-2DC4-DFA22F177926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6" name="Group 2">
          <a:extLst>
            <a:ext uri="{FF2B5EF4-FFF2-40B4-BE49-F238E27FC236}">
              <a16:creationId xmlns:a16="http://schemas.microsoft.com/office/drawing/2014/main" id="{09CBCD97-280F-481F-A305-B1A148FFA370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17" name="Picture 4">
            <a:extLst>
              <a:ext uri="{FF2B5EF4-FFF2-40B4-BE49-F238E27FC236}">
                <a16:creationId xmlns:a16="http://schemas.microsoft.com/office/drawing/2014/main" id="{40331838-13D1-9148-6706-6179B0C51C8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18" name="Freeform 3">
            <a:extLst>
              <a:ext uri="{FF2B5EF4-FFF2-40B4-BE49-F238E27FC236}">
                <a16:creationId xmlns:a16="http://schemas.microsoft.com/office/drawing/2014/main" id="{DA9DB625-53AA-FF00-E665-C20AE5FAADD6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19" name="Group 2">
          <a:extLst>
            <a:ext uri="{FF2B5EF4-FFF2-40B4-BE49-F238E27FC236}">
              <a16:creationId xmlns:a16="http://schemas.microsoft.com/office/drawing/2014/main" id="{3396C105-CE82-43B0-814F-32B90C27A424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0" name="Picture 4">
            <a:extLst>
              <a:ext uri="{FF2B5EF4-FFF2-40B4-BE49-F238E27FC236}">
                <a16:creationId xmlns:a16="http://schemas.microsoft.com/office/drawing/2014/main" id="{61A69A9B-8B96-F92E-7279-A3D662FB235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21" name="Freeform 3">
            <a:extLst>
              <a:ext uri="{FF2B5EF4-FFF2-40B4-BE49-F238E27FC236}">
                <a16:creationId xmlns:a16="http://schemas.microsoft.com/office/drawing/2014/main" id="{8327935E-F4F6-A844-03BF-DE9FE1D3F489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22" name="Group 2">
          <a:extLst>
            <a:ext uri="{FF2B5EF4-FFF2-40B4-BE49-F238E27FC236}">
              <a16:creationId xmlns:a16="http://schemas.microsoft.com/office/drawing/2014/main" id="{A5AAA841-FE57-4219-AD60-0BC6742D3EAF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3" name="Picture 4">
            <a:extLst>
              <a:ext uri="{FF2B5EF4-FFF2-40B4-BE49-F238E27FC236}">
                <a16:creationId xmlns:a16="http://schemas.microsoft.com/office/drawing/2014/main" id="{E815B661-0BA9-C751-DA7F-800A52A2F99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24" name="Freeform 3">
            <a:extLst>
              <a:ext uri="{FF2B5EF4-FFF2-40B4-BE49-F238E27FC236}">
                <a16:creationId xmlns:a16="http://schemas.microsoft.com/office/drawing/2014/main" id="{533DD83F-3B6E-ED4A-239C-8B3657967844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25" name="Group 2">
          <a:extLst>
            <a:ext uri="{FF2B5EF4-FFF2-40B4-BE49-F238E27FC236}">
              <a16:creationId xmlns:a16="http://schemas.microsoft.com/office/drawing/2014/main" id="{48B38D51-4D4A-4D66-826E-1A10380C53DC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6" name="Picture 4">
            <a:extLst>
              <a:ext uri="{FF2B5EF4-FFF2-40B4-BE49-F238E27FC236}">
                <a16:creationId xmlns:a16="http://schemas.microsoft.com/office/drawing/2014/main" id="{3D97D782-E148-01D7-E70F-D1459ABF0FF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27" name="Freeform 3">
            <a:extLst>
              <a:ext uri="{FF2B5EF4-FFF2-40B4-BE49-F238E27FC236}">
                <a16:creationId xmlns:a16="http://schemas.microsoft.com/office/drawing/2014/main" id="{D5EFF819-D7C5-0A07-FF68-0524B4381DF2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28" name="Group 2">
          <a:extLst>
            <a:ext uri="{FF2B5EF4-FFF2-40B4-BE49-F238E27FC236}">
              <a16:creationId xmlns:a16="http://schemas.microsoft.com/office/drawing/2014/main" id="{FAF23BB1-0FB8-44CA-8617-DD5CD7FDA066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29" name="Picture 4">
            <a:extLst>
              <a:ext uri="{FF2B5EF4-FFF2-40B4-BE49-F238E27FC236}">
                <a16:creationId xmlns:a16="http://schemas.microsoft.com/office/drawing/2014/main" id="{AA00CCC2-3A7F-C256-281B-5B7FAD5A946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0" name="Freeform 3">
            <a:extLst>
              <a:ext uri="{FF2B5EF4-FFF2-40B4-BE49-F238E27FC236}">
                <a16:creationId xmlns:a16="http://schemas.microsoft.com/office/drawing/2014/main" id="{BED070F1-8536-DEF7-E54D-B93107669AB0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31" name="Group 2">
          <a:extLst>
            <a:ext uri="{FF2B5EF4-FFF2-40B4-BE49-F238E27FC236}">
              <a16:creationId xmlns:a16="http://schemas.microsoft.com/office/drawing/2014/main" id="{98D5B65B-788B-4CA2-A9CC-CD7561AE4D7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32" name="Picture 4">
            <a:extLst>
              <a:ext uri="{FF2B5EF4-FFF2-40B4-BE49-F238E27FC236}">
                <a16:creationId xmlns:a16="http://schemas.microsoft.com/office/drawing/2014/main" id="{E7393C2F-3AD8-8F11-5300-2148F14FC26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3" name="Freeform 3">
            <a:extLst>
              <a:ext uri="{FF2B5EF4-FFF2-40B4-BE49-F238E27FC236}">
                <a16:creationId xmlns:a16="http://schemas.microsoft.com/office/drawing/2014/main" id="{98146887-66EB-94AD-7498-5E2897D558E1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34" name="Group 2">
          <a:extLst>
            <a:ext uri="{FF2B5EF4-FFF2-40B4-BE49-F238E27FC236}">
              <a16:creationId xmlns:a16="http://schemas.microsoft.com/office/drawing/2014/main" id="{CE8BAA5F-2BA7-47C6-80EA-69BFA4F195D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35" name="Picture 4">
            <a:extLst>
              <a:ext uri="{FF2B5EF4-FFF2-40B4-BE49-F238E27FC236}">
                <a16:creationId xmlns:a16="http://schemas.microsoft.com/office/drawing/2014/main" id="{2D13FAC0-997F-3E3A-61CE-A52ECAF477C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6" name="Freeform 3">
            <a:extLst>
              <a:ext uri="{FF2B5EF4-FFF2-40B4-BE49-F238E27FC236}">
                <a16:creationId xmlns:a16="http://schemas.microsoft.com/office/drawing/2014/main" id="{BCCB7A35-BA60-7A16-E640-7F9688CBAEC1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37" name="Group 2">
          <a:extLst>
            <a:ext uri="{FF2B5EF4-FFF2-40B4-BE49-F238E27FC236}">
              <a16:creationId xmlns:a16="http://schemas.microsoft.com/office/drawing/2014/main" id="{78B48594-043D-4EF1-BF06-1B25F1F2FB46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38" name="Picture 4">
            <a:extLst>
              <a:ext uri="{FF2B5EF4-FFF2-40B4-BE49-F238E27FC236}">
                <a16:creationId xmlns:a16="http://schemas.microsoft.com/office/drawing/2014/main" id="{EDB9964F-3BCF-165F-8071-8BA683EFC38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9" name="Freeform 3">
            <a:extLst>
              <a:ext uri="{FF2B5EF4-FFF2-40B4-BE49-F238E27FC236}">
                <a16:creationId xmlns:a16="http://schemas.microsoft.com/office/drawing/2014/main" id="{D794F62F-BE3A-E092-BCD6-727D014D738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0" name="Group 2">
          <a:extLst>
            <a:ext uri="{FF2B5EF4-FFF2-40B4-BE49-F238E27FC236}">
              <a16:creationId xmlns:a16="http://schemas.microsoft.com/office/drawing/2014/main" id="{7D011F52-72F5-46C3-A684-97B60A12B1AD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41" name="Picture 4">
            <a:extLst>
              <a:ext uri="{FF2B5EF4-FFF2-40B4-BE49-F238E27FC236}">
                <a16:creationId xmlns:a16="http://schemas.microsoft.com/office/drawing/2014/main" id="{27DAE9CD-FA2D-2467-7692-514A0E620CC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2" name="Freeform 3">
            <a:extLst>
              <a:ext uri="{FF2B5EF4-FFF2-40B4-BE49-F238E27FC236}">
                <a16:creationId xmlns:a16="http://schemas.microsoft.com/office/drawing/2014/main" id="{9AF4F9AE-A846-8D0D-8574-372F65A6189F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3" name="Group 2">
          <a:extLst>
            <a:ext uri="{FF2B5EF4-FFF2-40B4-BE49-F238E27FC236}">
              <a16:creationId xmlns:a16="http://schemas.microsoft.com/office/drawing/2014/main" id="{3233054D-272C-459A-BA82-FEC62A857F68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44" name="Picture 4">
            <a:extLst>
              <a:ext uri="{FF2B5EF4-FFF2-40B4-BE49-F238E27FC236}">
                <a16:creationId xmlns:a16="http://schemas.microsoft.com/office/drawing/2014/main" id="{C1C724EC-644C-F6D9-94B0-BAB3A998B34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5" name="Freeform 3">
            <a:extLst>
              <a:ext uri="{FF2B5EF4-FFF2-40B4-BE49-F238E27FC236}">
                <a16:creationId xmlns:a16="http://schemas.microsoft.com/office/drawing/2014/main" id="{BE8C6798-67E9-4B7A-92C9-459B957AF890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6" name="Group 2">
          <a:extLst>
            <a:ext uri="{FF2B5EF4-FFF2-40B4-BE49-F238E27FC236}">
              <a16:creationId xmlns:a16="http://schemas.microsoft.com/office/drawing/2014/main" id="{9444A1DB-E5AA-43EC-8303-08AB9C188B1D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47" name="Picture 4">
            <a:extLst>
              <a:ext uri="{FF2B5EF4-FFF2-40B4-BE49-F238E27FC236}">
                <a16:creationId xmlns:a16="http://schemas.microsoft.com/office/drawing/2014/main" id="{2B681D32-5F50-D005-6C8A-68FE8B1DE0A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8" name="Freeform 3">
            <a:extLst>
              <a:ext uri="{FF2B5EF4-FFF2-40B4-BE49-F238E27FC236}">
                <a16:creationId xmlns:a16="http://schemas.microsoft.com/office/drawing/2014/main" id="{E90BA063-DCD7-D96E-7992-AB94F007F3FC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49" name="Group 2">
          <a:extLst>
            <a:ext uri="{FF2B5EF4-FFF2-40B4-BE49-F238E27FC236}">
              <a16:creationId xmlns:a16="http://schemas.microsoft.com/office/drawing/2014/main" id="{7349AC08-32A8-4683-A872-701CBCEECE20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0" name="Picture 4">
            <a:extLst>
              <a:ext uri="{FF2B5EF4-FFF2-40B4-BE49-F238E27FC236}">
                <a16:creationId xmlns:a16="http://schemas.microsoft.com/office/drawing/2014/main" id="{07869BEA-DBF3-68EC-5596-635AC083BD1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51" name="Freeform 3">
            <a:extLst>
              <a:ext uri="{FF2B5EF4-FFF2-40B4-BE49-F238E27FC236}">
                <a16:creationId xmlns:a16="http://schemas.microsoft.com/office/drawing/2014/main" id="{0EDB1A11-B7FD-ED63-5201-A20A8AA94D7E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52" name="Group 2">
          <a:extLst>
            <a:ext uri="{FF2B5EF4-FFF2-40B4-BE49-F238E27FC236}">
              <a16:creationId xmlns:a16="http://schemas.microsoft.com/office/drawing/2014/main" id="{92EF77DF-97AE-4CD0-B790-5C22C632215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3" name="Picture 4">
            <a:extLst>
              <a:ext uri="{FF2B5EF4-FFF2-40B4-BE49-F238E27FC236}">
                <a16:creationId xmlns:a16="http://schemas.microsoft.com/office/drawing/2014/main" id="{7F2ED1EC-475B-AAE9-5EF5-9816C3D3F48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54" name="Freeform 3">
            <a:extLst>
              <a:ext uri="{FF2B5EF4-FFF2-40B4-BE49-F238E27FC236}">
                <a16:creationId xmlns:a16="http://schemas.microsoft.com/office/drawing/2014/main" id="{1906477D-E4EF-6171-3D8C-E063DB46CCDD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55" name="Group 2">
          <a:extLst>
            <a:ext uri="{FF2B5EF4-FFF2-40B4-BE49-F238E27FC236}">
              <a16:creationId xmlns:a16="http://schemas.microsoft.com/office/drawing/2014/main" id="{99B7B7CA-8CEA-4A91-9DDF-F9B3C9CD6164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6" name="Picture 4">
            <a:extLst>
              <a:ext uri="{FF2B5EF4-FFF2-40B4-BE49-F238E27FC236}">
                <a16:creationId xmlns:a16="http://schemas.microsoft.com/office/drawing/2014/main" id="{1637B578-6DE7-400F-5445-99C1E75307D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57" name="Freeform 3">
            <a:extLst>
              <a:ext uri="{FF2B5EF4-FFF2-40B4-BE49-F238E27FC236}">
                <a16:creationId xmlns:a16="http://schemas.microsoft.com/office/drawing/2014/main" id="{961E5384-F3E9-F2DC-8876-305CCE5F0A69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58" name="Group 2">
          <a:extLst>
            <a:ext uri="{FF2B5EF4-FFF2-40B4-BE49-F238E27FC236}">
              <a16:creationId xmlns:a16="http://schemas.microsoft.com/office/drawing/2014/main" id="{1B8BE8AD-C233-425A-94BA-F48EEEA3DECB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59" name="Picture 4">
            <a:extLst>
              <a:ext uri="{FF2B5EF4-FFF2-40B4-BE49-F238E27FC236}">
                <a16:creationId xmlns:a16="http://schemas.microsoft.com/office/drawing/2014/main" id="{074E0BFC-3A36-6495-7575-28F29598A7A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60" name="Freeform 3">
            <a:extLst>
              <a:ext uri="{FF2B5EF4-FFF2-40B4-BE49-F238E27FC236}">
                <a16:creationId xmlns:a16="http://schemas.microsoft.com/office/drawing/2014/main" id="{C2DF24E0-6121-78ED-9970-7DABEC65A1FD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61" name="Group 2">
          <a:extLst>
            <a:ext uri="{FF2B5EF4-FFF2-40B4-BE49-F238E27FC236}">
              <a16:creationId xmlns:a16="http://schemas.microsoft.com/office/drawing/2014/main" id="{F4AB50F4-5FFE-493F-AEA8-EBBBB3AF1927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62" name="Picture 4">
            <a:extLst>
              <a:ext uri="{FF2B5EF4-FFF2-40B4-BE49-F238E27FC236}">
                <a16:creationId xmlns:a16="http://schemas.microsoft.com/office/drawing/2014/main" id="{9BF24FD6-29E0-DF99-F69A-B17660D5769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63" name="Freeform 3">
            <a:extLst>
              <a:ext uri="{FF2B5EF4-FFF2-40B4-BE49-F238E27FC236}">
                <a16:creationId xmlns:a16="http://schemas.microsoft.com/office/drawing/2014/main" id="{B48C7F6C-C4CB-4A1C-AB20-59DD767D8F69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133350</xdr:colOff>
      <xdr:row>3</xdr:row>
      <xdr:rowOff>24107</xdr:rowOff>
    </xdr:to>
    <xdr:grpSp>
      <xdr:nvGrpSpPr>
        <xdr:cNvPr id="164" name="Group 2">
          <a:extLst>
            <a:ext uri="{FF2B5EF4-FFF2-40B4-BE49-F238E27FC236}">
              <a16:creationId xmlns:a16="http://schemas.microsoft.com/office/drawing/2014/main" id="{9B452167-CBDD-4C3B-B763-40DFA8CE0ABD}"/>
            </a:ext>
          </a:extLst>
        </xdr:cNvPr>
        <xdr:cNvGrpSpPr>
          <a:grpSpLocks/>
        </xdr:cNvGrpSpPr>
      </xdr:nvGrpSpPr>
      <xdr:grpSpPr bwMode="auto">
        <a:xfrm>
          <a:off x="228600" y="0"/>
          <a:ext cx="2667000" cy="595607"/>
          <a:chOff x="0" y="0"/>
          <a:chExt cx="3852" cy="886"/>
        </a:xfrm>
      </xdr:grpSpPr>
      <xdr:pic>
        <xdr:nvPicPr>
          <xdr:cNvPr id="165" name="Picture 4">
            <a:extLst>
              <a:ext uri="{FF2B5EF4-FFF2-40B4-BE49-F238E27FC236}">
                <a16:creationId xmlns:a16="http://schemas.microsoft.com/office/drawing/2014/main" id="{99527F2B-554D-5EF4-2A95-FD6F6252787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701" cy="8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66" name="Freeform 3">
            <a:extLst>
              <a:ext uri="{FF2B5EF4-FFF2-40B4-BE49-F238E27FC236}">
                <a16:creationId xmlns:a16="http://schemas.microsoft.com/office/drawing/2014/main" id="{C4296E26-13B6-5E39-29FA-E151A327E05F}"/>
              </a:ext>
            </a:extLst>
          </xdr:cNvPr>
          <xdr:cNvSpPr>
            <a:spLocks/>
          </xdr:cNvSpPr>
        </xdr:nvSpPr>
        <xdr:spPr bwMode="auto">
          <a:xfrm>
            <a:off x="3706" y="593"/>
            <a:ext cx="146" cy="210"/>
          </a:xfrm>
          <a:custGeom>
            <a:avLst/>
            <a:gdLst>
              <a:gd name="T0" fmla="+- 0 3853 3707"/>
              <a:gd name="T1" fmla="*/ T0 w 146"/>
              <a:gd name="T2" fmla="+- 0 594 594"/>
              <a:gd name="T3" fmla="*/ 594 h 210"/>
              <a:gd name="T4" fmla="+- 0 3707 3707"/>
              <a:gd name="T5" fmla="*/ T4 w 146"/>
              <a:gd name="T6" fmla="+- 0 594 594"/>
              <a:gd name="T7" fmla="*/ 594 h 210"/>
              <a:gd name="T8" fmla="+- 0 3707 3707"/>
              <a:gd name="T9" fmla="*/ T8 w 146"/>
              <a:gd name="T10" fmla="+- 0 646 594"/>
              <a:gd name="T11" fmla="*/ 646 h 210"/>
              <a:gd name="T12" fmla="+- 0 3750 3707"/>
              <a:gd name="T13" fmla="*/ T12 w 146"/>
              <a:gd name="T14" fmla="+- 0 646 594"/>
              <a:gd name="T15" fmla="*/ 646 h 210"/>
              <a:gd name="T16" fmla="+- 0 3750 3707"/>
              <a:gd name="T17" fmla="*/ T16 w 146"/>
              <a:gd name="T18" fmla="+- 0 804 594"/>
              <a:gd name="T19" fmla="*/ 804 h 210"/>
              <a:gd name="T20" fmla="+- 0 3809 3707"/>
              <a:gd name="T21" fmla="*/ T20 w 146"/>
              <a:gd name="T22" fmla="+- 0 804 594"/>
              <a:gd name="T23" fmla="*/ 804 h 210"/>
              <a:gd name="T24" fmla="+- 0 3809 3707"/>
              <a:gd name="T25" fmla="*/ T24 w 146"/>
              <a:gd name="T26" fmla="+- 0 646 594"/>
              <a:gd name="T27" fmla="*/ 646 h 210"/>
              <a:gd name="T28" fmla="+- 0 3853 3707"/>
              <a:gd name="T29" fmla="*/ T28 w 146"/>
              <a:gd name="T30" fmla="+- 0 646 594"/>
              <a:gd name="T31" fmla="*/ 646 h 210"/>
              <a:gd name="T32" fmla="+- 0 3853 3707"/>
              <a:gd name="T33" fmla="*/ T32 w 146"/>
              <a:gd name="T34" fmla="+- 0 594 594"/>
              <a:gd name="T35" fmla="*/ 594 h 2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6" h="210">
                <a:moveTo>
                  <a:pt x="146" y="0"/>
                </a:moveTo>
                <a:lnTo>
                  <a:pt x="0" y="0"/>
                </a:lnTo>
                <a:lnTo>
                  <a:pt x="0" y="52"/>
                </a:lnTo>
                <a:lnTo>
                  <a:pt x="43" y="52"/>
                </a:lnTo>
                <a:lnTo>
                  <a:pt x="43" y="210"/>
                </a:lnTo>
                <a:lnTo>
                  <a:pt x="102" y="210"/>
                </a:lnTo>
                <a:lnTo>
                  <a:pt x="102" y="52"/>
                </a:lnTo>
                <a:lnTo>
                  <a:pt x="146" y="52"/>
                </a:lnTo>
                <a:lnTo>
                  <a:pt x="146" y="0"/>
                </a:lnTo>
                <a:close/>
              </a:path>
            </a:pathLst>
          </a:custGeom>
          <a:solidFill>
            <a:srgbClr val="33A9E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11584748" y="208572"/>
          <a:ext cx="900982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200024</xdr:colOff>
      <xdr:row>1</xdr:row>
      <xdr:rowOff>525780</xdr:rowOff>
    </xdr:from>
    <xdr:to>
      <xdr:col>0</xdr:col>
      <xdr:colOff>1322069</xdr:colOff>
      <xdr:row>4</xdr:row>
      <xdr:rowOff>14853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4" y="716280"/>
          <a:ext cx="1122045" cy="7273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561974</xdr:colOff>
      <xdr:row>1</xdr:row>
      <xdr:rowOff>259080</xdr:rowOff>
    </xdr:from>
    <xdr:to>
      <xdr:col>5</xdr:col>
      <xdr:colOff>678179</xdr:colOff>
      <xdr:row>4</xdr:row>
      <xdr:rowOff>180975</xdr:rowOff>
    </xdr:to>
    <xdr:pic>
      <xdr:nvPicPr>
        <xdr:cNvPr id="3" name="Imagen 3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7974" y="434340"/>
          <a:ext cx="1343025" cy="1165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200024</xdr:colOff>
      <xdr:row>1</xdr:row>
      <xdr:rowOff>525780</xdr:rowOff>
    </xdr:from>
    <xdr:to>
      <xdr:col>0</xdr:col>
      <xdr:colOff>1322069</xdr:colOff>
      <xdr:row>4</xdr:row>
      <xdr:rowOff>14853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B4092B0-CABD-4054-AE77-7A0775A32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4" y="716280"/>
          <a:ext cx="1122045" cy="7273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561974</xdr:colOff>
      <xdr:row>1</xdr:row>
      <xdr:rowOff>259080</xdr:rowOff>
    </xdr:from>
    <xdr:to>
      <xdr:col>5</xdr:col>
      <xdr:colOff>678179</xdr:colOff>
      <xdr:row>4</xdr:row>
      <xdr:rowOff>180975</xdr:rowOff>
    </xdr:to>
    <xdr:pic>
      <xdr:nvPicPr>
        <xdr:cNvPr id="7" name="Imagen 3" descr="C:\Users\Monitoreo\Downloads\logo_cibaooccidental-2-01 (1).png">
          <a:extLst>
            <a:ext uri="{FF2B5EF4-FFF2-40B4-BE49-F238E27FC236}">
              <a16:creationId xmlns:a16="http://schemas.microsoft.com/office/drawing/2014/main" id="{AFFF39CB-4AB7-48B8-A776-ADD2154E0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6524" y="449580"/>
          <a:ext cx="1306830" cy="1160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200024</xdr:colOff>
      <xdr:row>1</xdr:row>
      <xdr:rowOff>525780</xdr:rowOff>
    </xdr:from>
    <xdr:to>
      <xdr:col>0</xdr:col>
      <xdr:colOff>1322069</xdr:colOff>
      <xdr:row>4</xdr:row>
      <xdr:rowOff>14853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F2C1E53-7C30-4311-B51C-41FA13102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4" y="716280"/>
          <a:ext cx="1122045" cy="7273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561974</xdr:colOff>
      <xdr:row>1</xdr:row>
      <xdr:rowOff>259080</xdr:rowOff>
    </xdr:from>
    <xdr:to>
      <xdr:col>5</xdr:col>
      <xdr:colOff>678179</xdr:colOff>
      <xdr:row>4</xdr:row>
      <xdr:rowOff>180975</xdr:rowOff>
    </xdr:to>
    <xdr:pic>
      <xdr:nvPicPr>
        <xdr:cNvPr id="9" name="Imagen 3" descr="C:\Users\Monitoreo\Downloads\logo_cibaooccidental-2-01 (1).png">
          <a:extLst>
            <a:ext uri="{FF2B5EF4-FFF2-40B4-BE49-F238E27FC236}">
              <a16:creationId xmlns:a16="http://schemas.microsoft.com/office/drawing/2014/main" id="{ABFE740B-90DE-4752-81AD-6825627AB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6524" y="449580"/>
          <a:ext cx="1306830" cy="1160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350520</xdr:colOff>
      <xdr:row>0</xdr:row>
      <xdr:rowOff>342900</xdr:rowOff>
    </xdr:from>
    <xdr:ext cx="1303150" cy="529525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" y="342900"/>
          <a:ext cx="1303150" cy="52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26</xdr:col>
      <xdr:colOff>118110</xdr:colOff>
      <xdr:row>0</xdr:row>
      <xdr:rowOff>419100</xdr:rowOff>
    </xdr:from>
    <xdr:ext cx="1005687" cy="804759"/>
    <xdr:pic>
      <xdr:nvPicPr>
        <xdr:cNvPr id="5" name="Imagen 3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52690" y="419100"/>
          <a:ext cx="1005687" cy="8047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27589" cy="668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496222</xdr:colOff>
      <xdr:row>0</xdr:row>
      <xdr:rowOff>72206</xdr:rowOff>
    </xdr:from>
    <xdr:to>
      <xdr:col>6</xdr:col>
      <xdr:colOff>592703</xdr:colOff>
      <xdr:row>1</xdr:row>
      <xdr:rowOff>314939</xdr:rowOff>
    </xdr:to>
    <xdr:pic>
      <xdr:nvPicPr>
        <xdr:cNvPr id="3" name="Imagen 3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3238" y="72206"/>
          <a:ext cx="964485" cy="811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A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A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A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A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A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A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A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A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A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A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A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A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A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A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A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A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A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A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467031</xdr:colOff>
      <xdr:row>1</xdr:row>
      <xdr:rowOff>297120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A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715913" cy="65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428931</xdr:colOff>
      <xdr:row>2</xdr:row>
      <xdr:rowOff>172681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A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677813" cy="856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428931</xdr:colOff>
      <xdr:row>2</xdr:row>
      <xdr:rowOff>172681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A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677813" cy="856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243346</xdr:colOff>
      <xdr:row>0</xdr:row>
      <xdr:rowOff>215082</xdr:rowOff>
    </xdr:from>
    <xdr:to>
      <xdr:col>1</xdr:col>
      <xdr:colOff>428931</xdr:colOff>
      <xdr:row>2</xdr:row>
      <xdr:rowOff>172681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A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46" y="215082"/>
          <a:ext cx="677813" cy="856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476251</xdr:colOff>
      <xdr:row>1</xdr:row>
      <xdr:rowOff>109801</xdr:rowOff>
    </xdr:from>
    <xdr:to>
      <xdr:col>5</xdr:col>
      <xdr:colOff>808068</xdr:colOff>
      <xdr:row>4</xdr:row>
      <xdr:rowOff>76201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6" y="271726"/>
          <a:ext cx="2112992" cy="48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1095375</xdr:colOff>
      <xdr:row>0</xdr:row>
      <xdr:rowOff>47625</xdr:rowOff>
    </xdr:from>
    <xdr:to>
      <xdr:col>8</xdr:col>
      <xdr:colOff>759329</xdr:colOff>
      <xdr:row>4</xdr:row>
      <xdr:rowOff>99425</xdr:rowOff>
    </xdr:to>
    <xdr:pic>
      <xdr:nvPicPr>
        <xdr:cNvPr id="7" name="Imagen 3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7625"/>
          <a:ext cx="1006979" cy="728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32"/>
  <sheetViews>
    <sheetView tabSelected="1" zoomScaleNormal="100" workbookViewId="0">
      <selection activeCell="B7" sqref="B7:H7"/>
    </sheetView>
  </sheetViews>
  <sheetFormatPr baseColWidth="10" defaultRowHeight="15" x14ac:dyDescent="0.25"/>
  <cols>
    <col min="1" max="1" width="5.42578125" customWidth="1"/>
    <col min="2" max="2" width="61.5703125" customWidth="1"/>
    <col min="5" max="5" width="16.28515625" customWidth="1"/>
    <col min="6" max="6" width="23.28515625" customWidth="1"/>
    <col min="7" max="7" width="15.42578125" customWidth="1"/>
    <col min="8" max="8" width="16.85546875" customWidth="1"/>
  </cols>
  <sheetData>
    <row r="4" spans="2:8" ht="18.75" x14ac:dyDescent="0.3">
      <c r="B4" s="792" t="s">
        <v>0</v>
      </c>
      <c r="C4" s="792"/>
      <c r="D4" s="792"/>
      <c r="E4" s="792"/>
      <c r="F4" s="792"/>
      <c r="G4" s="792"/>
      <c r="H4" s="792"/>
    </row>
    <row r="5" spans="2:8" ht="18.75" x14ac:dyDescent="0.3">
      <c r="B5" s="792" t="s">
        <v>1</v>
      </c>
      <c r="C5" s="792"/>
      <c r="D5" s="792"/>
      <c r="E5" s="792"/>
      <c r="F5" s="792"/>
      <c r="G5" s="792"/>
      <c r="H5" s="792"/>
    </row>
    <row r="6" spans="2:8" ht="18.75" x14ac:dyDescent="0.3">
      <c r="B6" s="792" t="s">
        <v>736</v>
      </c>
      <c r="C6" s="792"/>
      <c r="D6" s="792"/>
      <c r="E6" s="792"/>
      <c r="F6" s="792"/>
      <c r="G6" s="792"/>
      <c r="H6" s="792"/>
    </row>
    <row r="7" spans="2:8" ht="19.5" thickBot="1" x14ac:dyDescent="0.35">
      <c r="B7" s="793" t="s">
        <v>270</v>
      </c>
      <c r="C7" s="793"/>
      <c r="D7" s="793"/>
      <c r="E7" s="793"/>
      <c r="F7" s="793"/>
      <c r="G7" s="793"/>
      <c r="H7" s="793"/>
    </row>
    <row r="8" spans="2:8" ht="15.75" x14ac:dyDescent="0.25">
      <c r="B8" s="1" t="s">
        <v>2</v>
      </c>
      <c r="C8" s="794" t="s">
        <v>3</v>
      </c>
      <c r="D8" s="795"/>
      <c r="E8" s="1" t="s">
        <v>4</v>
      </c>
      <c r="F8" s="2" t="s">
        <v>5</v>
      </c>
      <c r="G8" s="3" t="s">
        <v>6</v>
      </c>
      <c r="H8" s="4" t="s">
        <v>7</v>
      </c>
    </row>
    <row r="9" spans="2:8" ht="15.75" x14ac:dyDescent="0.25">
      <c r="B9" s="785" t="s">
        <v>16</v>
      </c>
      <c r="C9" s="787" t="s">
        <v>8</v>
      </c>
      <c r="D9" s="788"/>
      <c r="E9" s="5"/>
      <c r="F9" s="789" t="s">
        <v>17</v>
      </c>
      <c r="G9" s="790"/>
      <c r="H9" s="791"/>
    </row>
    <row r="10" spans="2:8" ht="32.25" thickBot="1" x14ac:dyDescent="0.3">
      <c r="B10" s="786"/>
      <c r="C10" s="497" t="s">
        <v>21</v>
      </c>
      <c r="D10" s="498" t="s">
        <v>22</v>
      </c>
      <c r="E10" s="499" t="s">
        <v>9</v>
      </c>
      <c r="F10" s="500" t="s">
        <v>18</v>
      </c>
      <c r="G10" s="501" t="s">
        <v>19</v>
      </c>
      <c r="H10" s="502" t="s">
        <v>20</v>
      </c>
    </row>
    <row r="11" spans="2:8" x14ac:dyDescent="0.25">
      <c r="B11" s="492" t="s">
        <v>237</v>
      </c>
      <c r="C11" s="508">
        <v>45870</v>
      </c>
      <c r="D11" s="508">
        <v>45900</v>
      </c>
      <c r="E11" s="493">
        <v>0</v>
      </c>
      <c r="F11" s="494"/>
      <c r="G11" s="495"/>
      <c r="H11" s="496"/>
    </row>
    <row r="12" spans="2:8" x14ac:dyDescent="0.25">
      <c r="B12" s="260" t="s">
        <v>254</v>
      </c>
      <c r="C12" s="508">
        <v>45870</v>
      </c>
      <c r="D12" s="508">
        <v>45900</v>
      </c>
      <c r="E12" s="205">
        <v>72495.350000000006</v>
      </c>
      <c r="F12" s="8"/>
      <c r="G12" s="9"/>
      <c r="H12" s="10"/>
    </row>
    <row r="13" spans="2:8" x14ac:dyDescent="0.25">
      <c r="B13" s="260" t="s">
        <v>255</v>
      </c>
      <c r="C13" s="508">
        <v>45870</v>
      </c>
      <c r="D13" s="508">
        <v>45900</v>
      </c>
      <c r="E13" s="205">
        <v>465113.39</v>
      </c>
      <c r="F13" s="8"/>
      <c r="G13" s="9"/>
      <c r="H13" s="10"/>
    </row>
    <row r="14" spans="2:8" x14ac:dyDescent="0.25">
      <c r="B14" s="6" t="s">
        <v>13</v>
      </c>
      <c r="C14" s="508">
        <v>45870</v>
      </c>
      <c r="D14" s="508">
        <v>45900</v>
      </c>
      <c r="E14" s="205">
        <v>0</v>
      </c>
      <c r="F14" s="8"/>
      <c r="G14" s="9"/>
      <c r="H14" s="10"/>
    </row>
    <row r="15" spans="2:8" x14ac:dyDescent="0.25">
      <c r="B15" s="6" t="s">
        <v>256</v>
      </c>
      <c r="C15" s="508">
        <v>45870</v>
      </c>
      <c r="D15" s="508">
        <v>45900</v>
      </c>
      <c r="E15" s="205">
        <v>0</v>
      </c>
      <c r="F15" s="8"/>
      <c r="G15" s="9"/>
      <c r="H15" s="10"/>
    </row>
    <row r="16" spans="2:8" x14ac:dyDescent="0.25">
      <c r="B16" s="6" t="s">
        <v>14</v>
      </c>
      <c r="C16" s="508">
        <v>45870</v>
      </c>
      <c r="D16" s="508">
        <v>45900</v>
      </c>
      <c r="E16" s="205">
        <v>0</v>
      </c>
      <c r="F16" s="8"/>
      <c r="G16" s="9"/>
      <c r="H16" s="10"/>
    </row>
    <row r="17" spans="1:9" x14ac:dyDescent="0.25">
      <c r="B17" s="260" t="s">
        <v>15</v>
      </c>
      <c r="C17" s="508">
        <v>45870</v>
      </c>
      <c r="D17" s="508">
        <v>45900</v>
      </c>
      <c r="E17" s="479">
        <v>24100</v>
      </c>
      <c r="F17" s="8"/>
      <c r="G17" s="9"/>
      <c r="H17" s="10"/>
    </row>
    <row r="18" spans="1:9" ht="15.75" thickBot="1" x14ac:dyDescent="0.3">
      <c r="B18" s="237" t="s">
        <v>10</v>
      </c>
      <c r="C18" s="508">
        <v>45870</v>
      </c>
      <c r="D18" s="508">
        <v>45900</v>
      </c>
      <c r="E18" s="259">
        <v>0</v>
      </c>
      <c r="F18" s="238"/>
      <c r="G18" s="239"/>
      <c r="H18" s="236"/>
    </row>
    <row r="19" spans="1:9" ht="15.75" thickBot="1" x14ac:dyDescent="0.3">
      <c r="B19" s="240" t="s">
        <v>11</v>
      </c>
      <c r="C19" s="235"/>
      <c r="D19" s="235"/>
      <c r="E19" s="241">
        <f>SUM(E11:E18)</f>
        <v>561708.74</v>
      </c>
      <c r="F19" s="241"/>
      <c r="G19" s="241"/>
      <c r="H19" s="241"/>
    </row>
    <row r="21" spans="1:9" ht="15.75" x14ac:dyDescent="0.25">
      <c r="B21" s="12" t="s">
        <v>12</v>
      </c>
    </row>
    <row r="26" spans="1:9" ht="15.75" x14ac:dyDescent="0.25">
      <c r="B26" s="206" t="s">
        <v>258</v>
      </c>
      <c r="C26" s="207" t="s">
        <v>259</v>
      </c>
      <c r="D26" s="207"/>
      <c r="F26" s="207" t="s">
        <v>260</v>
      </c>
    </row>
    <row r="27" spans="1:9" x14ac:dyDescent="0.25">
      <c r="B27" s="783" t="s">
        <v>335</v>
      </c>
      <c r="C27" s="783"/>
      <c r="D27" s="783"/>
      <c r="E27" s="783"/>
      <c r="F27" s="783"/>
      <c r="G27" s="783"/>
      <c r="H27" s="783"/>
    </row>
    <row r="28" spans="1:9" x14ac:dyDescent="0.25">
      <c r="B28" s="783"/>
      <c r="C28" s="783"/>
      <c r="D28" s="783"/>
      <c r="E28" s="783"/>
      <c r="F28" s="783"/>
      <c r="G28" s="783"/>
      <c r="H28" s="783"/>
    </row>
    <row r="29" spans="1:9" x14ac:dyDescent="0.25">
      <c r="B29" s="204" t="s">
        <v>261</v>
      </c>
      <c r="C29" s="784" t="s">
        <v>262</v>
      </c>
      <c r="D29" s="784"/>
      <c r="F29" t="s">
        <v>271</v>
      </c>
    </row>
    <row r="31" spans="1:9" x14ac:dyDescent="0.25">
      <c r="A31" s="782"/>
      <c r="B31" s="782"/>
      <c r="C31" s="782"/>
      <c r="D31" s="782"/>
      <c r="E31" s="782"/>
      <c r="F31" s="782"/>
      <c r="G31" s="782"/>
      <c r="H31" s="782"/>
      <c r="I31" s="782"/>
    </row>
    <row r="32" spans="1:9" x14ac:dyDescent="0.25">
      <c r="B32" s="176"/>
      <c r="C32" s="176"/>
      <c r="D32" s="176"/>
      <c r="E32" s="176"/>
      <c r="F32" s="176"/>
    </row>
  </sheetData>
  <mergeCells count="11">
    <mergeCell ref="B4:H4"/>
    <mergeCell ref="B5:H5"/>
    <mergeCell ref="B6:H6"/>
    <mergeCell ref="B7:H7"/>
    <mergeCell ref="C8:D8"/>
    <mergeCell ref="A31:I31"/>
    <mergeCell ref="B27:H28"/>
    <mergeCell ref="C29:D29"/>
    <mergeCell ref="B9:B10"/>
    <mergeCell ref="C9:D9"/>
    <mergeCell ref="F9:H9"/>
  </mergeCells>
  <pageMargins left="0.51181102362204722" right="0.70866141732283472" top="0.74803149606299213" bottom="0.74803149606299213" header="0.31496062992125984" footer="0.31496062992125984"/>
  <pageSetup paperSize="9" scale="83" orientation="landscape" horizontalDpi="4294967293" verticalDpi="0" r:id="rId1"/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1430B-8989-49CE-AD2A-625B874A8196}">
  <dimension ref="A3:L63"/>
  <sheetViews>
    <sheetView topLeftCell="A31" zoomScaleNormal="100" workbookViewId="0">
      <selection activeCell="C25" sqref="C25"/>
    </sheetView>
  </sheetViews>
  <sheetFormatPr baseColWidth="10" defaultColWidth="11.42578125" defaultRowHeight="15" x14ac:dyDescent="0.25"/>
  <cols>
    <col min="1" max="1" width="22" customWidth="1"/>
    <col min="2" max="2" width="45.85546875" bestFit="1" customWidth="1"/>
    <col min="3" max="3" width="21.140625" customWidth="1"/>
    <col min="4" max="4" width="22.28515625" customWidth="1"/>
    <col min="5" max="5" width="20" customWidth="1"/>
    <col min="6" max="6" width="12" bestFit="1" customWidth="1"/>
    <col min="7" max="7" width="12.28515625" bestFit="1" customWidth="1"/>
    <col min="10" max="10" width="12.28515625" bestFit="1" customWidth="1"/>
  </cols>
  <sheetData>
    <row r="3" spans="1:12" ht="15" customHeight="1" x14ac:dyDescent="0.3">
      <c r="A3" s="792" t="s">
        <v>23</v>
      </c>
      <c r="B3" s="792"/>
      <c r="C3" s="792"/>
      <c r="D3" s="792"/>
      <c r="E3" s="792"/>
    </row>
    <row r="4" spans="1:12" ht="14.25" customHeight="1" x14ac:dyDescent="0.25">
      <c r="A4" s="797" t="s">
        <v>24</v>
      </c>
      <c r="B4" s="797"/>
      <c r="C4" s="797"/>
      <c r="D4" s="797"/>
      <c r="E4" s="797"/>
    </row>
    <row r="5" spans="1:12" x14ac:dyDescent="0.25">
      <c r="A5" s="798" t="s">
        <v>601</v>
      </c>
      <c r="B5" s="798"/>
      <c r="C5" s="798"/>
      <c r="D5" s="798"/>
      <c r="E5" s="798"/>
    </row>
    <row r="6" spans="1:12" ht="15.75" thickBot="1" x14ac:dyDescent="0.3">
      <c r="A6" s="799" t="s">
        <v>737</v>
      </c>
      <c r="B6" s="799"/>
      <c r="C6" s="799"/>
      <c r="D6" s="799"/>
      <c r="E6" s="799"/>
    </row>
    <row r="7" spans="1:12" ht="45.75" thickBot="1" x14ac:dyDescent="0.3">
      <c r="A7" s="538" t="s">
        <v>602</v>
      </c>
      <c r="B7" s="539" t="s">
        <v>25</v>
      </c>
      <c r="C7" s="539" t="s">
        <v>603</v>
      </c>
      <c r="D7" s="540" t="s">
        <v>604</v>
      </c>
      <c r="E7" s="540" t="s">
        <v>605</v>
      </c>
    </row>
    <row r="8" spans="1:12" ht="15.75" thickBot="1" x14ac:dyDescent="0.3">
      <c r="A8" s="626" t="s">
        <v>34</v>
      </c>
      <c r="B8" s="627" t="s">
        <v>35</v>
      </c>
      <c r="C8" s="482">
        <v>45876</v>
      </c>
      <c r="D8" s="661">
        <v>4524000051</v>
      </c>
      <c r="E8" s="662">
        <v>2499969.08</v>
      </c>
    </row>
    <row r="9" spans="1:12" ht="15.75" thickBot="1" x14ac:dyDescent="0.3">
      <c r="A9" s="800" t="s">
        <v>32</v>
      </c>
      <c r="B9" s="801"/>
      <c r="C9" s="483"/>
      <c r="D9" s="483"/>
      <c r="E9" s="542">
        <f>E8</f>
        <v>2499969.08</v>
      </c>
    </row>
    <row r="10" spans="1:12" x14ac:dyDescent="0.25">
      <c r="A10" s="802"/>
      <c r="B10" s="543" t="s">
        <v>70</v>
      </c>
      <c r="C10" s="591">
        <v>45870</v>
      </c>
      <c r="D10" s="628">
        <v>4524000182</v>
      </c>
      <c r="E10" s="544">
        <v>4186258.32</v>
      </c>
      <c r="L10" s="13"/>
    </row>
    <row r="11" spans="1:12" x14ac:dyDescent="0.25">
      <c r="A11" s="802"/>
      <c r="B11" s="7" t="s">
        <v>606</v>
      </c>
      <c r="C11" s="591">
        <v>45870</v>
      </c>
      <c r="D11" s="628">
        <v>4524000137</v>
      </c>
      <c r="E11" s="544">
        <v>15000</v>
      </c>
      <c r="L11" s="13"/>
    </row>
    <row r="12" spans="1:12" x14ac:dyDescent="0.25">
      <c r="A12" s="802"/>
      <c r="B12" s="7" t="s">
        <v>71</v>
      </c>
      <c r="C12" s="591">
        <v>45873</v>
      </c>
      <c r="D12" s="628">
        <v>4524000024</v>
      </c>
      <c r="E12" s="544">
        <v>321230.8</v>
      </c>
      <c r="L12" s="13"/>
    </row>
    <row r="13" spans="1:12" x14ac:dyDescent="0.25">
      <c r="A13" s="802"/>
      <c r="B13" s="7" t="s">
        <v>71</v>
      </c>
      <c r="C13" s="591">
        <v>45876</v>
      </c>
      <c r="D13" s="628">
        <v>4524000003</v>
      </c>
      <c r="E13" s="544">
        <v>88000</v>
      </c>
      <c r="L13" s="13"/>
    </row>
    <row r="14" spans="1:12" x14ac:dyDescent="0.25">
      <c r="A14" s="802"/>
      <c r="B14" s="7" t="s">
        <v>71</v>
      </c>
      <c r="C14" s="591">
        <v>45877</v>
      </c>
      <c r="D14" s="628">
        <v>4524000015</v>
      </c>
      <c r="E14" s="544">
        <v>22466.78</v>
      </c>
      <c r="L14" s="13"/>
    </row>
    <row r="15" spans="1:12" ht="15.75" thickBot="1" x14ac:dyDescent="0.3">
      <c r="A15" s="802"/>
      <c r="B15" s="7" t="s">
        <v>699</v>
      </c>
      <c r="C15" s="591">
        <v>45891</v>
      </c>
      <c r="D15" s="610">
        <v>3580010066</v>
      </c>
      <c r="E15" s="544">
        <v>18178</v>
      </c>
      <c r="L15" s="13"/>
    </row>
    <row r="16" spans="1:12" ht="15.75" thickBot="1" x14ac:dyDescent="0.3">
      <c r="A16" s="800" t="s">
        <v>32</v>
      </c>
      <c r="B16" s="801"/>
      <c r="C16" s="483"/>
      <c r="D16" s="483"/>
      <c r="E16" s="542">
        <f>SUM(E10:E15)</f>
        <v>4651133.9000000004</v>
      </c>
      <c r="F16" s="545"/>
    </row>
    <row r="17" spans="1:5" x14ac:dyDescent="0.25">
      <c r="A17" s="803" t="s">
        <v>607</v>
      </c>
      <c r="B17" s="484" t="s">
        <v>608</v>
      </c>
      <c r="C17" s="546"/>
      <c r="D17" s="541"/>
      <c r="E17" s="547">
        <v>0</v>
      </c>
    </row>
    <row r="18" spans="1:5" ht="30" x14ac:dyDescent="0.25">
      <c r="A18" s="803"/>
      <c r="B18" s="297" t="s">
        <v>36</v>
      </c>
      <c r="C18" s="482">
        <v>45870</v>
      </c>
      <c r="D18" s="610">
        <v>2000110061</v>
      </c>
      <c r="E18" s="611">
        <v>8600</v>
      </c>
    </row>
    <row r="19" spans="1:5" ht="30" x14ac:dyDescent="0.25">
      <c r="A19" s="803"/>
      <c r="B19" s="297" t="s">
        <v>36</v>
      </c>
      <c r="C19" s="482">
        <v>45873</v>
      </c>
      <c r="D19" s="610">
        <v>3580050400</v>
      </c>
      <c r="E19" s="611">
        <v>9000</v>
      </c>
    </row>
    <row r="20" spans="1:5" ht="30" x14ac:dyDescent="0.25">
      <c r="A20" s="803"/>
      <c r="B20" s="297" t="s">
        <v>36</v>
      </c>
      <c r="C20" s="482">
        <v>45874</v>
      </c>
      <c r="D20" s="610">
        <v>3580050042</v>
      </c>
      <c r="E20" s="611">
        <v>8300</v>
      </c>
    </row>
    <row r="21" spans="1:5" ht="30" x14ac:dyDescent="0.25">
      <c r="A21" s="803"/>
      <c r="B21" s="297" t="s">
        <v>36</v>
      </c>
      <c r="C21" s="482">
        <v>45875</v>
      </c>
      <c r="D21" s="610">
        <v>3580050035</v>
      </c>
      <c r="E21" s="611">
        <v>10200</v>
      </c>
    </row>
    <row r="22" spans="1:5" ht="30" x14ac:dyDescent="0.25">
      <c r="A22" s="803"/>
      <c r="B22" s="297" t="s">
        <v>36</v>
      </c>
      <c r="C22" s="482">
        <v>45876</v>
      </c>
      <c r="D22" s="610">
        <v>3580020030</v>
      </c>
      <c r="E22" s="611">
        <v>8200</v>
      </c>
    </row>
    <row r="23" spans="1:5" ht="30" x14ac:dyDescent="0.25">
      <c r="A23" s="803"/>
      <c r="B23" s="297" t="s">
        <v>36</v>
      </c>
      <c r="C23" s="482">
        <v>45877</v>
      </c>
      <c r="D23" s="610">
        <v>3580050020</v>
      </c>
      <c r="E23" s="611">
        <v>6800</v>
      </c>
    </row>
    <row r="24" spans="1:5" ht="30" x14ac:dyDescent="0.25">
      <c r="A24" s="803"/>
      <c r="B24" s="297" t="s">
        <v>36</v>
      </c>
      <c r="C24" s="482">
        <v>45880</v>
      </c>
      <c r="D24" s="610">
        <v>3580080339</v>
      </c>
      <c r="E24" s="611">
        <v>7900</v>
      </c>
    </row>
    <row r="25" spans="1:5" ht="30" x14ac:dyDescent="0.25">
      <c r="A25" s="803"/>
      <c r="B25" s="297" t="s">
        <v>36</v>
      </c>
      <c r="C25" s="482">
        <v>45881</v>
      </c>
      <c r="D25" s="610">
        <v>3580070067</v>
      </c>
      <c r="E25" s="611">
        <v>8500</v>
      </c>
    </row>
    <row r="26" spans="1:5" ht="30" x14ac:dyDescent="0.25">
      <c r="A26" s="803"/>
      <c r="B26" s="297" t="s">
        <v>36</v>
      </c>
      <c r="C26" s="482">
        <v>45882</v>
      </c>
      <c r="D26" s="610">
        <v>3580050042</v>
      </c>
      <c r="E26" s="611">
        <v>8800</v>
      </c>
    </row>
    <row r="27" spans="1:5" ht="30" x14ac:dyDescent="0.25">
      <c r="A27" s="803"/>
      <c r="B27" s="297" t="s">
        <v>36</v>
      </c>
      <c r="C27" s="482">
        <v>45883</v>
      </c>
      <c r="D27" s="610">
        <v>3580020044</v>
      </c>
      <c r="E27" s="611">
        <v>11800</v>
      </c>
    </row>
    <row r="28" spans="1:5" ht="30" x14ac:dyDescent="0.25">
      <c r="A28" s="803"/>
      <c r="B28" s="297" t="s">
        <v>36</v>
      </c>
      <c r="C28" s="482">
        <v>45884</v>
      </c>
      <c r="D28" s="610">
        <v>3580070070</v>
      </c>
      <c r="E28" s="611">
        <v>18900</v>
      </c>
    </row>
    <row r="29" spans="1:5" ht="30" x14ac:dyDescent="0.25">
      <c r="A29" s="803"/>
      <c r="B29" s="297" t="s">
        <v>36</v>
      </c>
      <c r="C29" s="482">
        <v>45887</v>
      </c>
      <c r="D29" s="610">
        <v>3580060054</v>
      </c>
      <c r="E29" s="544">
        <v>15800</v>
      </c>
    </row>
    <row r="30" spans="1:5" ht="30" x14ac:dyDescent="0.25">
      <c r="A30" s="803"/>
      <c r="B30" s="297" t="s">
        <v>36</v>
      </c>
      <c r="C30" s="482">
        <v>45888</v>
      </c>
      <c r="D30" s="610">
        <v>3580050245</v>
      </c>
      <c r="E30" s="611">
        <v>11000</v>
      </c>
    </row>
    <row r="31" spans="1:5" ht="30" x14ac:dyDescent="0.25">
      <c r="A31" s="803"/>
      <c r="B31" s="297" t="s">
        <v>36</v>
      </c>
      <c r="C31" s="482">
        <v>45890</v>
      </c>
      <c r="D31" s="610">
        <v>3580080028</v>
      </c>
      <c r="E31" s="544">
        <v>800</v>
      </c>
    </row>
    <row r="32" spans="1:5" ht="30" x14ac:dyDescent="0.25">
      <c r="A32" s="803"/>
      <c r="B32" s="297" t="s">
        <v>36</v>
      </c>
      <c r="C32" s="482">
        <v>45890</v>
      </c>
      <c r="D32" s="610">
        <v>3580080031</v>
      </c>
      <c r="E32" s="544">
        <v>4400</v>
      </c>
    </row>
    <row r="33" spans="1:7" ht="30" x14ac:dyDescent="0.25">
      <c r="A33" s="803"/>
      <c r="B33" s="297" t="s">
        <v>36</v>
      </c>
      <c r="C33" s="482">
        <v>45799</v>
      </c>
      <c r="D33" s="610">
        <v>3580080010</v>
      </c>
      <c r="E33" s="544">
        <v>6600</v>
      </c>
    </row>
    <row r="34" spans="1:7" ht="30" x14ac:dyDescent="0.25">
      <c r="A34" s="803"/>
      <c r="B34" s="297" t="s">
        <v>36</v>
      </c>
      <c r="C34" s="482">
        <v>45894</v>
      </c>
      <c r="D34" s="610">
        <v>3580080416</v>
      </c>
      <c r="E34" s="611">
        <v>2800</v>
      </c>
    </row>
    <row r="35" spans="1:7" ht="30" x14ac:dyDescent="0.25">
      <c r="A35" s="803"/>
      <c r="B35" s="297" t="s">
        <v>36</v>
      </c>
      <c r="C35" s="482">
        <v>45895</v>
      </c>
      <c r="D35" s="610">
        <v>3580080078</v>
      </c>
      <c r="E35" s="611">
        <v>5400</v>
      </c>
    </row>
    <row r="36" spans="1:7" ht="30" x14ac:dyDescent="0.25">
      <c r="A36" s="803"/>
      <c r="B36" s="297" t="s">
        <v>36</v>
      </c>
      <c r="C36" s="482">
        <v>45896</v>
      </c>
      <c r="D36" s="610">
        <v>3580050040</v>
      </c>
      <c r="E36" s="611">
        <v>12200</v>
      </c>
    </row>
    <row r="37" spans="1:7" ht="30" x14ac:dyDescent="0.25">
      <c r="A37" s="803"/>
      <c r="B37" s="297" t="s">
        <v>36</v>
      </c>
      <c r="C37" s="482">
        <v>45897</v>
      </c>
      <c r="D37" s="610">
        <v>3580030051</v>
      </c>
      <c r="E37" s="611">
        <v>10800</v>
      </c>
    </row>
    <row r="38" spans="1:7" ht="30" x14ac:dyDescent="0.25">
      <c r="A38" s="803"/>
      <c r="B38" s="297" t="s">
        <v>36</v>
      </c>
      <c r="C38" s="482">
        <v>45898</v>
      </c>
      <c r="D38" s="610">
        <v>3580030037</v>
      </c>
      <c r="E38" s="611">
        <v>18200</v>
      </c>
    </row>
    <row r="39" spans="1:7" x14ac:dyDescent="0.25">
      <c r="A39" s="803"/>
      <c r="B39" s="624" t="s">
        <v>653</v>
      </c>
      <c r="C39" s="629">
        <v>45873</v>
      </c>
      <c r="D39" s="628">
        <v>3580050403</v>
      </c>
      <c r="E39" s="605">
        <v>9500</v>
      </c>
    </row>
    <row r="40" spans="1:7" x14ac:dyDescent="0.25">
      <c r="A40" s="803"/>
      <c r="B40" s="624" t="s">
        <v>653</v>
      </c>
      <c r="C40" s="629">
        <v>45880</v>
      </c>
      <c r="D40" s="628">
        <v>3580080342</v>
      </c>
      <c r="E40" s="605">
        <v>17100</v>
      </c>
    </row>
    <row r="41" spans="1:7" x14ac:dyDescent="0.25">
      <c r="A41" s="803"/>
      <c r="B41" s="624" t="s">
        <v>653</v>
      </c>
      <c r="C41" s="629">
        <v>45887</v>
      </c>
      <c r="D41" s="610">
        <v>3580060057</v>
      </c>
      <c r="E41" s="605">
        <v>6700</v>
      </c>
    </row>
    <row r="42" spans="1:7" x14ac:dyDescent="0.25">
      <c r="A42" s="803"/>
      <c r="B42" s="624" t="s">
        <v>653</v>
      </c>
      <c r="C42" s="629">
        <v>45894</v>
      </c>
      <c r="D42" s="628">
        <v>3580080419</v>
      </c>
      <c r="E42" s="605">
        <v>9000</v>
      </c>
    </row>
    <row r="43" spans="1:7" ht="16.5" thickBot="1" x14ac:dyDescent="0.3">
      <c r="A43" s="804"/>
      <c r="B43" s="548" t="s">
        <v>609</v>
      </c>
      <c r="C43" s="625"/>
      <c r="D43" s="549"/>
      <c r="E43" s="550">
        <v>0</v>
      </c>
    </row>
    <row r="44" spans="1:7" ht="15.75" thickBot="1" x14ac:dyDescent="0.3">
      <c r="A44" s="805" t="s">
        <v>32</v>
      </c>
      <c r="B44" s="806"/>
      <c r="C44" s="483"/>
      <c r="D44" s="483"/>
      <c r="E44" s="542">
        <f>SUM(E17:E43)</f>
        <v>237300</v>
      </c>
    </row>
    <row r="45" spans="1:7" ht="15.75" thickBot="1" x14ac:dyDescent="0.3">
      <c r="A45" s="807" t="s">
        <v>33</v>
      </c>
      <c r="B45" s="808"/>
      <c r="C45" s="231"/>
      <c r="D45" s="231"/>
      <c r="E45" s="551">
        <f>E9+E16+E44</f>
        <v>7388402.9800000004</v>
      </c>
    </row>
    <row r="46" spans="1:7" x14ac:dyDescent="0.25">
      <c r="A46" s="552"/>
      <c r="B46" s="552"/>
      <c r="C46" s="553"/>
      <c r="D46" s="553"/>
      <c r="E46" s="554"/>
    </row>
    <row r="47" spans="1:7" x14ac:dyDescent="0.25">
      <c r="A47" s="809" t="s">
        <v>740</v>
      </c>
      <c r="B47" s="809"/>
      <c r="C47" s="809"/>
      <c r="D47" s="809"/>
      <c r="E47" s="809"/>
      <c r="G47" s="13"/>
    </row>
    <row r="48" spans="1:7" x14ac:dyDescent="0.25">
      <c r="A48" s="809"/>
      <c r="B48" s="809"/>
      <c r="C48" s="809"/>
      <c r="D48" s="809"/>
      <c r="E48" s="809"/>
    </row>
    <row r="50" spans="1:5" x14ac:dyDescent="0.25">
      <c r="A50" s="796" t="s">
        <v>738</v>
      </c>
      <c r="B50" s="796"/>
      <c r="C50" s="796"/>
      <c r="D50" s="796"/>
      <c r="E50" s="796"/>
    </row>
    <row r="51" spans="1:5" hidden="1" x14ac:dyDescent="0.25"/>
    <row r="52" spans="1:5" x14ac:dyDescent="0.25">
      <c r="A52" s="555" t="s">
        <v>610</v>
      </c>
      <c r="B52" s="555" t="s">
        <v>611</v>
      </c>
      <c r="C52" s="555" t="s">
        <v>612</v>
      </c>
      <c r="D52" s="556" t="s">
        <v>613</v>
      </c>
      <c r="E52" s="557"/>
    </row>
    <row r="53" spans="1:5" x14ac:dyDescent="0.25">
      <c r="A53" s="558">
        <v>2001037435</v>
      </c>
      <c r="B53" s="559">
        <v>7626912.5099999998</v>
      </c>
      <c r="C53" s="559">
        <v>7626912.5099999998</v>
      </c>
      <c r="D53" s="559">
        <v>7626912.5099999998</v>
      </c>
      <c r="E53" s="208"/>
    </row>
    <row r="54" spans="1:5" ht="21" customHeight="1" x14ac:dyDescent="0.25">
      <c r="A54" s="558">
        <v>2001042102</v>
      </c>
      <c r="B54" s="559">
        <v>7274.89</v>
      </c>
      <c r="C54" s="559">
        <v>7274.89</v>
      </c>
      <c r="D54" s="559">
        <v>7274.89</v>
      </c>
      <c r="E54" s="176"/>
    </row>
    <row r="55" spans="1:5" ht="21" customHeight="1" x14ac:dyDescent="0.25">
      <c r="A55" s="558"/>
      <c r="B55" s="558"/>
      <c r="C55" s="558"/>
      <c r="D55" s="558"/>
      <c r="E55" s="176"/>
    </row>
    <row r="56" spans="1:5" ht="21" customHeight="1" x14ac:dyDescent="0.25">
      <c r="A56" s="176"/>
      <c r="B56" s="176"/>
      <c r="C56" s="176"/>
      <c r="D56" s="176"/>
      <c r="E56" s="176"/>
    </row>
    <row r="57" spans="1:5" ht="21" customHeight="1" x14ac:dyDescent="0.25">
      <c r="A57" s="176"/>
      <c r="B57" s="176"/>
      <c r="C57" s="176"/>
      <c r="D57" s="176"/>
      <c r="E57" s="176"/>
    </row>
    <row r="58" spans="1:5" ht="25.5" customHeight="1" x14ac:dyDescent="0.25">
      <c r="A58" s="782" t="s">
        <v>325</v>
      </c>
      <c r="B58" s="782"/>
      <c r="D58" s="782" t="s">
        <v>614</v>
      </c>
      <c r="E58" s="782"/>
    </row>
    <row r="59" spans="1:5" x14ac:dyDescent="0.25">
      <c r="A59" s="782" t="s">
        <v>615</v>
      </c>
      <c r="B59" s="782"/>
      <c r="D59" t="s">
        <v>616</v>
      </c>
    </row>
    <row r="60" spans="1:5" x14ac:dyDescent="0.25">
      <c r="A60" s="176"/>
      <c r="B60" s="176"/>
    </row>
    <row r="61" spans="1:5" x14ac:dyDescent="0.25">
      <c r="A61" s="176"/>
      <c r="B61" s="176"/>
    </row>
    <row r="62" spans="1:5" x14ac:dyDescent="0.25">
      <c r="A62" s="782" t="s">
        <v>272</v>
      </c>
      <c r="B62" s="782"/>
      <c r="C62" s="782"/>
      <c r="D62" s="782"/>
      <c r="E62" s="782"/>
    </row>
    <row r="63" spans="1:5" x14ac:dyDescent="0.25">
      <c r="A63" s="782" t="s">
        <v>617</v>
      </c>
      <c r="B63" s="782"/>
      <c r="C63" s="782"/>
      <c r="D63" s="782"/>
      <c r="E63" s="782"/>
    </row>
  </sheetData>
  <mergeCells count="17">
    <mergeCell ref="A58:B58"/>
    <mergeCell ref="D58:E58"/>
    <mergeCell ref="A59:B59"/>
    <mergeCell ref="A62:E62"/>
    <mergeCell ref="A63:E63"/>
    <mergeCell ref="A50:E50"/>
    <mergeCell ref="A3:E3"/>
    <mergeCell ref="A4:E4"/>
    <mergeCell ref="A5:E5"/>
    <mergeCell ref="A6:E6"/>
    <mergeCell ref="A9:B9"/>
    <mergeCell ref="A10:A15"/>
    <mergeCell ref="A16:B16"/>
    <mergeCell ref="A17:A43"/>
    <mergeCell ref="A44:B44"/>
    <mergeCell ref="A45:B45"/>
    <mergeCell ref="A47:E48"/>
  </mergeCells>
  <pageMargins left="0.31496062992125984" right="0.31496062992125984" top="0.74803149606299213" bottom="0.74803149606299213" header="0.31496062992125984" footer="0.31496062992125984"/>
  <pageSetup scale="7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E8760-14C1-463B-B748-96D32659C157}">
  <dimension ref="A1:I397"/>
  <sheetViews>
    <sheetView zoomScaleNormal="100" workbookViewId="0">
      <selection activeCell="F136" sqref="F136"/>
    </sheetView>
  </sheetViews>
  <sheetFormatPr baseColWidth="10" defaultRowHeight="15" x14ac:dyDescent="0.25"/>
  <cols>
    <col min="1" max="1" width="12.7109375" customWidth="1"/>
    <col min="2" max="2" width="12.85546875" customWidth="1"/>
    <col min="4" max="4" width="14.7109375" customWidth="1"/>
    <col min="6" max="6" width="24.42578125" customWidth="1"/>
    <col min="7" max="7" width="29" customWidth="1"/>
    <col min="8" max="8" width="12.42578125" customWidth="1"/>
    <col min="9" max="9" width="20.7109375" customWidth="1"/>
  </cols>
  <sheetData>
    <row r="1" spans="1:9" x14ac:dyDescent="0.25">
      <c r="E1" s="17"/>
    </row>
    <row r="2" spans="1:9" x14ac:dyDescent="0.25">
      <c r="E2" s="17"/>
    </row>
    <row r="3" spans="1:9" x14ac:dyDescent="0.25">
      <c r="A3" s="782" t="s">
        <v>263</v>
      </c>
      <c r="B3" s="782"/>
      <c r="C3" s="782"/>
      <c r="D3" s="782"/>
      <c r="E3" s="782"/>
      <c r="F3" s="782"/>
      <c r="G3" s="782"/>
      <c r="H3" s="782"/>
      <c r="I3" s="782"/>
    </row>
    <row r="4" spans="1:9" ht="18.75" x14ac:dyDescent="0.3">
      <c r="A4" s="792" t="s">
        <v>83</v>
      </c>
      <c r="B4" s="792"/>
      <c r="C4" s="792"/>
      <c r="D4" s="792"/>
      <c r="E4" s="792"/>
      <c r="F4" s="792"/>
      <c r="G4" s="792"/>
      <c r="H4" s="792"/>
      <c r="I4" s="792"/>
    </row>
    <row r="5" spans="1:9" ht="18.75" x14ac:dyDescent="0.3">
      <c r="A5" s="792" t="s">
        <v>741</v>
      </c>
      <c r="B5" s="792"/>
      <c r="C5" s="792"/>
      <c r="D5" s="792"/>
      <c r="E5" s="792"/>
      <c r="F5" s="792"/>
      <c r="G5" s="792"/>
      <c r="H5" s="792"/>
      <c r="I5" s="792"/>
    </row>
    <row r="6" spans="1:9" ht="18.75" x14ac:dyDescent="0.3">
      <c r="A6" s="812" t="s">
        <v>674</v>
      </c>
      <c r="B6" s="812"/>
      <c r="C6" s="812"/>
      <c r="D6" s="812"/>
      <c r="E6" s="812"/>
      <c r="F6" s="812"/>
      <c r="G6" s="812"/>
      <c r="H6" s="812"/>
      <c r="I6" s="812"/>
    </row>
    <row r="7" spans="1:9" ht="47.25" x14ac:dyDescent="0.25">
      <c r="A7" s="606" t="s">
        <v>654</v>
      </c>
      <c r="B7" s="607" t="s">
        <v>655</v>
      </c>
      <c r="C7" s="608" t="s">
        <v>656</v>
      </c>
      <c r="D7" s="607" t="s">
        <v>657</v>
      </c>
      <c r="E7" s="607" t="s">
        <v>658</v>
      </c>
      <c r="F7" s="606" t="s">
        <v>659</v>
      </c>
      <c r="G7" s="606" t="s">
        <v>660</v>
      </c>
      <c r="H7" s="607" t="s">
        <v>661</v>
      </c>
      <c r="I7" s="606" t="s">
        <v>662</v>
      </c>
    </row>
    <row r="8" spans="1:9" x14ac:dyDescent="0.25">
      <c r="A8" s="630">
        <v>45891</v>
      </c>
      <c r="B8" s="11" t="s">
        <v>742</v>
      </c>
      <c r="C8" s="633" t="s">
        <v>743</v>
      </c>
      <c r="D8" s="633" t="s">
        <v>744</v>
      </c>
      <c r="E8" s="663" t="s">
        <v>326</v>
      </c>
      <c r="F8" s="247" t="s">
        <v>745</v>
      </c>
      <c r="G8" s="247" t="s">
        <v>746</v>
      </c>
      <c r="H8" s="249" t="s">
        <v>747</v>
      </c>
      <c r="I8" s="664">
        <v>283200</v>
      </c>
    </row>
    <row r="9" spans="1:9" x14ac:dyDescent="0.25">
      <c r="A9" s="630">
        <v>45863</v>
      </c>
      <c r="B9" s="11"/>
      <c r="C9" s="592" t="s">
        <v>718</v>
      </c>
      <c r="D9" s="592" t="s">
        <v>685</v>
      </c>
      <c r="E9" s="663" t="s">
        <v>326</v>
      </c>
      <c r="F9" s="250" t="s">
        <v>719</v>
      </c>
      <c r="G9" s="247" t="s">
        <v>720</v>
      </c>
      <c r="H9" s="249" t="s">
        <v>748</v>
      </c>
      <c r="I9" s="612">
        <v>140560</v>
      </c>
    </row>
    <row r="10" spans="1:9" x14ac:dyDescent="0.25">
      <c r="A10" s="630">
        <v>45870</v>
      </c>
      <c r="B10" s="11"/>
      <c r="C10" s="592" t="s">
        <v>749</v>
      </c>
      <c r="D10" s="610" t="s">
        <v>750</v>
      </c>
      <c r="E10" s="663" t="s">
        <v>343</v>
      </c>
      <c r="F10" s="560" t="s">
        <v>621</v>
      </c>
      <c r="G10" s="247" t="s">
        <v>337</v>
      </c>
      <c r="H10" s="249" t="s">
        <v>368</v>
      </c>
      <c r="I10" s="664">
        <v>153500</v>
      </c>
    </row>
    <row r="11" spans="1:9" x14ac:dyDescent="0.25">
      <c r="A11" s="630">
        <v>45870</v>
      </c>
      <c r="B11" s="11"/>
      <c r="C11" s="592" t="s">
        <v>751</v>
      </c>
      <c r="D11" s="610" t="s">
        <v>752</v>
      </c>
      <c r="E11" s="663" t="s">
        <v>326</v>
      </c>
      <c r="F11" s="247" t="s">
        <v>684</v>
      </c>
      <c r="G11" s="247" t="s">
        <v>706</v>
      </c>
      <c r="H11" s="249" t="s">
        <v>327</v>
      </c>
      <c r="I11" s="664">
        <v>166585.04999999999</v>
      </c>
    </row>
    <row r="12" spans="1:9" x14ac:dyDescent="0.25">
      <c r="A12" s="630">
        <v>45870</v>
      </c>
      <c r="B12" s="11"/>
      <c r="C12" s="592" t="s">
        <v>753</v>
      </c>
      <c r="D12" s="592" t="s">
        <v>754</v>
      </c>
      <c r="E12" s="663" t="s">
        <v>326</v>
      </c>
      <c r="F12" s="250" t="s">
        <v>725</v>
      </c>
      <c r="G12" s="247" t="s">
        <v>666</v>
      </c>
      <c r="H12" s="249" t="s">
        <v>331</v>
      </c>
      <c r="I12" s="664">
        <v>885.9</v>
      </c>
    </row>
    <row r="13" spans="1:9" ht="24" customHeight="1" x14ac:dyDescent="0.25">
      <c r="A13" s="630">
        <v>45870</v>
      </c>
      <c r="B13" s="11"/>
      <c r="C13" s="592" t="s">
        <v>755</v>
      </c>
      <c r="D13" s="610" t="s">
        <v>756</v>
      </c>
      <c r="E13" s="663" t="s">
        <v>326</v>
      </c>
      <c r="F13" s="250" t="s">
        <v>705</v>
      </c>
      <c r="G13" s="247" t="s">
        <v>757</v>
      </c>
      <c r="H13" s="249" t="s">
        <v>758</v>
      </c>
      <c r="I13" s="664">
        <v>56350</v>
      </c>
    </row>
    <row r="14" spans="1:9" x14ac:dyDescent="0.25">
      <c r="A14" s="630">
        <v>45870</v>
      </c>
      <c r="B14" s="11"/>
      <c r="C14" s="592" t="s">
        <v>759</v>
      </c>
      <c r="D14" s="592" t="s">
        <v>760</v>
      </c>
      <c r="E14" s="663" t="s">
        <v>343</v>
      </c>
      <c r="F14" s="250" t="s">
        <v>640</v>
      </c>
      <c r="G14" s="247" t="s">
        <v>544</v>
      </c>
      <c r="H14" s="249" t="s">
        <v>331</v>
      </c>
      <c r="I14" s="664">
        <v>107900</v>
      </c>
    </row>
    <row r="15" spans="1:9" x14ac:dyDescent="0.25">
      <c r="A15" s="630">
        <v>45870</v>
      </c>
      <c r="B15" s="11"/>
      <c r="C15" s="592" t="s">
        <v>761</v>
      </c>
      <c r="D15" s="592" t="s">
        <v>762</v>
      </c>
      <c r="E15" s="663" t="s">
        <v>343</v>
      </c>
      <c r="F15" s="250" t="s">
        <v>334</v>
      </c>
      <c r="G15" s="251" t="s">
        <v>702</v>
      </c>
      <c r="H15" s="249" t="s">
        <v>327</v>
      </c>
      <c r="I15" s="664">
        <v>73632</v>
      </c>
    </row>
    <row r="16" spans="1:9" ht="24.75" x14ac:dyDescent="0.25">
      <c r="A16" s="630">
        <v>45870</v>
      </c>
      <c r="B16" s="11"/>
      <c r="C16" s="633" t="s">
        <v>763</v>
      </c>
      <c r="D16" s="592" t="s">
        <v>764</v>
      </c>
      <c r="E16" s="663" t="s">
        <v>326</v>
      </c>
      <c r="F16" s="250" t="s">
        <v>334</v>
      </c>
      <c r="G16" s="247" t="s">
        <v>700</v>
      </c>
      <c r="H16" s="249" t="s">
        <v>701</v>
      </c>
      <c r="I16" s="664">
        <v>239620</v>
      </c>
    </row>
    <row r="17" spans="1:9" x14ac:dyDescent="0.25">
      <c r="A17" s="630">
        <v>45870</v>
      </c>
      <c r="B17" s="11"/>
      <c r="C17" s="592" t="s">
        <v>765</v>
      </c>
      <c r="D17" s="592" t="s">
        <v>766</v>
      </c>
      <c r="E17" s="663" t="s">
        <v>343</v>
      </c>
      <c r="F17" s="250" t="s">
        <v>664</v>
      </c>
      <c r="G17" s="251" t="s">
        <v>665</v>
      </c>
      <c r="H17" s="249" t="s">
        <v>327</v>
      </c>
      <c r="I17" s="664">
        <v>111156.2</v>
      </c>
    </row>
    <row r="18" spans="1:9" x14ac:dyDescent="0.25">
      <c r="A18" s="630">
        <v>45870</v>
      </c>
      <c r="B18" s="11"/>
      <c r="C18" s="592" t="s">
        <v>767</v>
      </c>
      <c r="D18" s="592" t="s">
        <v>768</v>
      </c>
      <c r="E18" s="663" t="s">
        <v>343</v>
      </c>
      <c r="F18" s="250" t="s">
        <v>622</v>
      </c>
      <c r="G18" s="11" t="s">
        <v>769</v>
      </c>
      <c r="H18" s="249" t="s">
        <v>327</v>
      </c>
      <c r="I18" s="664">
        <v>77493.009999999995</v>
      </c>
    </row>
    <row r="19" spans="1:9" x14ac:dyDescent="0.25">
      <c r="A19" s="630">
        <v>45870</v>
      </c>
      <c r="B19" s="11"/>
      <c r="C19" s="592" t="s">
        <v>770</v>
      </c>
      <c r="D19" s="592" t="s">
        <v>771</v>
      </c>
      <c r="E19" s="663" t="s">
        <v>343</v>
      </c>
      <c r="F19" s="250" t="s">
        <v>622</v>
      </c>
      <c r="G19" s="251" t="s">
        <v>665</v>
      </c>
      <c r="H19" s="249" t="s">
        <v>327</v>
      </c>
      <c r="I19" s="664">
        <v>87839.2</v>
      </c>
    </row>
    <row r="20" spans="1:9" ht="24.75" x14ac:dyDescent="0.25">
      <c r="A20" s="630">
        <v>45870</v>
      </c>
      <c r="B20" s="11"/>
      <c r="C20" s="592" t="s">
        <v>772</v>
      </c>
      <c r="D20" s="592" t="s">
        <v>773</v>
      </c>
      <c r="E20" s="663" t="s">
        <v>343</v>
      </c>
      <c r="F20" s="250" t="s">
        <v>369</v>
      </c>
      <c r="G20" s="247" t="s">
        <v>700</v>
      </c>
      <c r="H20" s="249" t="s">
        <v>701</v>
      </c>
      <c r="I20" s="664">
        <v>167900</v>
      </c>
    </row>
    <row r="21" spans="1:9" ht="24.75" x14ac:dyDescent="0.25">
      <c r="A21" s="630">
        <v>45870</v>
      </c>
      <c r="B21" s="11"/>
      <c r="C21" s="592" t="s">
        <v>774</v>
      </c>
      <c r="D21" s="592" t="s">
        <v>775</v>
      </c>
      <c r="E21" s="663" t="s">
        <v>343</v>
      </c>
      <c r="F21" s="250" t="s">
        <v>683</v>
      </c>
      <c r="G21" s="247" t="s">
        <v>700</v>
      </c>
      <c r="H21" s="249" t="s">
        <v>701</v>
      </c>
      <c r="I21" s="664">
        <v>70000</v>
      </c>
    </row>
    <row r="22" spans="1:9" x14ac:dyDescent="0.25">
      <c r="A22" s="630">
        <v>45870</v>
      </c>
      <c r="B22" s="11"/>
      <c r="C22" s="633" t="s">
        <v>776</v>
      </c>
      <c r="D22" s="592" t="s">
        <v>726</v>
      </c>
      <c r="E22" s="663" t="s">
        <v>343</v>
      </c>
      <c r="F22" s="250" t="s">
        <v>676</v>
      </c>
      <c r="G22" s="247" t="s">
        <v>666</v>
      </c>
      <c r="H22" s="249" t="s">
        <v>331</v>
      </c>
      <c r="I22" s="664">
        <v>12213</v>
      </c>
    </row>
    <row r="23" spans="1:9" x14ac:dyDescent="0.25">
      <c r="A23" s="630">
        <v>45870</v>
      </c>
      <c r="B23" s="11"/>
      <c r="C23" s="592" t="s">
        <v>777</v>
      </c>
      <c r="D23" s="592" t="s">
        <v>778</v>
      </c>
      <c r="E23" s="663" t="s">
        <v>326</v>
      </c>
      <c r="F23" s="250" t="s">
        <v>779</v>
      </c>
      <c r="G23" s="247" t="s">
        <v>544</v>
      </c>
      <c r="H23" s="249" t="s">
        <v>331</v>
      </c>
      <c r="I23" s="664">
        <v>28284.400000000001</v>
      </c>
    </row>
    <row r="24" spans="1:9" x14ac:dyDescent="0.25">
      <c r="A24" s="630">
        <v>45870</v>
      </c>
      <c r="B24" s="11"/>
      <c r="C24" s="633" t="s">
        <v>780</v>
      </c>
      <c r="D24" s="592" t="s">
        <v>781</v>
      </c>
      <c r="E24" s="663" t="s">
        <v>326</v>
      </c>
      <c r="F24" s="250" t="s">
        <v>619</v>
      </c>
      <c r="G24" s="247" t="s">
        <v>367</v>
      </c>
      <c r="H24" s="249" t="s">
        <v>368</v>
      </c>
      <c r="I24" s="664">
        <f>238261.4</f>
        <v>238261.4</v>
      </c>
    </row>
    <row r="25" spans="1:9" x14ac:dyDescent="0.25">
      <c r="A25" s="630">
        <v>45870</v>
      </c>
      <c r="B25" s="11"/>
      <c r="C25" s="592" t="s">
        <v>782</v>
      </c>
      <c r="D25" s="592" t="s">
        <v>783</v>
      </c>
      <c r="E25" s="663" t="s">
        <v>326</v>
      </c>
      <c r="F25" s="250" t="s">
        <v>703</v>
      </c>
      <c r="G25" s="247" t="s">
        <v>367</v>
      </c>
      <c r="H25" s="249" t="s">
        <v>368</v>
      </c>
      <c r="I25" s="664">
        <v>34826.300000000003</v>
      </c>
    </row>
    <row r="26" spans="1:9" x14ac:dyDescent="0.25">
      <c r="A26" s="630">
        <v>45871</v>
      </c>
      <c r="B26" s="11"/>
      <c r="C26" s="632" t="s">
        <v>784</v>
      </c>
      <c r="D26" s="592" t="s">
        <v>785</v>
      </c>
      <c r="E26" s="663" t="s">
        <v>343</v>
      </c>
      <c r="F26" s="247" t="s">
        <v>593</v>
      </c>
      <c r="G26" s="247" t="s">
        <v>599</v>
      </c>
      <c r="H26" s="249" t="s">
        <v>600</v>
      </c>
      <c r="I26" s="664">
        <v>18500</v>
      </c>
    </row>
    <row r="27" spans="1:9" x14ac:dyDescent="0.25">
      <c r="A27" s="630">
        <v>45873</v>
      </c>
      <c r="B27" s="11"/>
      <c r="C27" s="592" t="s">
        <v>786</v>
      </c>
      <c r="D27" s="610" t="s">
        <v>787</v>
      </c>
      <c r="E27" s="663" t="s">
        <v>343</v>
      </c>
      <c r="F27" s="250" t="s">
        <v>639</v>
      </c>
      <c r="G27" s="11" t="s">
        <v>367</v>
      </c>
      <c r="H27" s="249" t="s">
        <v>368</v>
      </c>
      <c r="I27" s="664">
        <v>103732.21</v>
      </c>
    </row>
    <row r="28" spans="1:9" x14ac:dyDescent="0.25">
      <c r="A28" s="631">
        <v>45873</v>
      </c>
      <c r="B28" s="503"/>
      <c r="C28" s="632" t="s">
        <v>788</v>
      </c>
      <c r="D28" s="592" t="s">
        <v>789</v>
      </c>
      <c r="E28" s="663" t="s">
        <v>343</v>
      </c>
      <c r="F28" s="250" t="s">
        <v>620</v>
      </c>
      <c r="G28" s="247" t="s">
        <v>666</v>
      </c>
      <c r="H28" s="249" t="s">
        <v>331</v>
      </c>
      <c r="I28" s="664">
        <v>79700</v>
      </c>
    </row>
    <row r="29" spans="1:9" x14ac:dyDescent="0.25">
      <c r="A29" s="630">
        <v>45873</v>
      </c>
      <c r="B29" s="11"/>
      <c r="C29" s="592" t="s">
        <v>790</v>
      </c>
      <c r="D29" s="610" t="s">
        <v>791</v>
      </c>
      <c r="E29" s="663" t="s">
        <v>343</v>
      </c>
      <c r="F29" s="247" t="s">
        <v>418</v>
      </c>
      <c r="G29" s="247" t="s">
        <v>367</v>
      </c>
      <c r="H29" s="249" t="s">
        <v>368</v>
      </c>
      <c r="I29" s="664">
        <v>128606.47</v>
      </c>
    </row>
    <row r="30" spans="1:9" x14ac:dyDescent="0.25">
      <c r="A30" s="630">
        <v>45873</v>
      </c>
      <c r="B30" s="11"/>
      <c r="C30" s="592" t="s">
        <v>792</v>
      </c>
      <c r="D30" s="610" t="s">
        <v>793</v>
      </c>
      <c r="E30" s="663" t="s">
        <v>343</v>
      </c>
      <c r="F30" s="247" t="s">
        <v>418</v>
      </c>
      <c r="G30" s="247" t="s">
        <v>367</v>
      </c>
      <c r="H30" s="249" t="s">
        <v>368</v>
      </c>
      <c r="I30" s="664">
        <v>240003.08</v>
      </c>
    </row>
    <row r="31" spans="1:9" x14ac:dyDescent="0.25">
      <c r="A31" s="630">
        <v>45873</v>
      </c>
      <c r="B31" s="11"/>
      <c r="C31" s="592" t="s">
        <v>794</v>
      </c>
      <c r="D31" s="610" t="s">
        <v>795</v>
      </c>
      <c r="E31" s="663" t="s">
        <v>343</v>
      </c>
      <c r="F31" s="247" t="s">
        <v>418</v>
      </c>
      <c r="G31" s="247" t="s">
        <v>367</v>
      </c>
      <c r="H31" s="249" t="s">
        <v>368</v>
      </c>
      <c r="I31" s="664">
        <v>239125.89</v>
      </c>
    </row>
    <row r="32" spans="1:9" x14ac:dyDescent="0.25">
      <c r="A32" s="630">
        <v>45873</v>
      </c>
      <c r="B32" s="11"/>
      <c r="C32" s="592" t="s">
        <v>796</v>
      </c>
      <c r="D32" s="592" t="s">
        <v>726</v>
      </c>
      <c r="E32" s="663" t="s">
        <v>343</v>
      </c>
      <c r="F32" s="250" t="s">
        <v>643</v>
      </c>
      <c r="G32" s="247" t="s">
        <v>666</v>
      </c>
      <c r="H32" s="249" t="s">
        <v>331</v>
      </c>
      <c r="I32" s="664">
        <v>239000</v>
      </c>
    </row>
    <row r="33" spans="1:9" x14ac:dyDescent="0.25">
      <c r="A33" s="630"/>
      <c r="B33" s="11"/>
      <c r="C33" s="592" t="s">
        <v>797</v>
      </c>
      <c r="D33" s="610"/>
      <c r="E33" s="663"/>
      <c r="F33" s="665" t="s">
        <v>798</v>
      </c>
      <c r="G33" s="665" t="s">
        <v>798</v>
      </c>
      <c r="H33" s="249"/>
      <c r="I33" s="664"/>
    </row>
    <row r="34" spans="1:9" x14ac:dyDescent="0.25">
      <c r="A34" s="630">
        <v>45873</v>
      </c>
      <c r="B34" s="11"/>
      <c r="C34" s="592" t="s">
        <v>799</v>
      </c>
      <c r="D34" s="592" t="s">
        <v>800</v>
      </c>
      <c r="E34" s="663" t="s">
        <v>343</v>
      </c>
      <c r="F34" s="250" t="s">
        <v>638</v>
      </c>
      <c r="G34" s="247" t="s">
        <v>707</v>
      </c>
      <c r="H34" s="249" t="s">
        <v>327</v>
      </c>
      <c r="I34" s="664">
        <v>239540</v>
      </c>
    </row>
    <row r="35" spans="1:9" x14ac:dyDescent="0.25">
      <c r="A35" s="631">
        <v>45874</v>
      </c>
      <c r="B35" s="503"/>
      <c r="C35" s="632" t="s">
        <v>801</v>
      </c>
      <c r="D35" s="592" t="s">
        <v>802</v>
      </c>
      <c r="E35" s="666" t="s">
        <v>343</v>
      </c>
      <c r="F35" s="250" t="s">
        <v>340</v>
      </c>
      <c r="G35" s="247" t="s">
        <v>330</v>
      </c>
      <c r="H35" s="249" t="s">
        <v>336</v>
      </c>
      <c r="I35" s="664">
        <v>101793.04</v>
      </c>
    </row>
    <row r="36" spans="1:9" x14ac:dyDescent="0.25">
      <c r="A36" s="630">
        <v>45875</v>
      </c>
      <c r="B36" s="11"/>
      <c r="C36" s="592" t="s">
        <v>803</v>
      </c>
      <c r="D36" s="592" t="s">
        <v>804</v>
      </c>
      <c r="E36" s="663" t="s">
        <v>343</v>
      </c>
      <c r="F36" s="247" t="s">
        <v>347</v>
      </c>
      <c r="G36" s="247" t="s">
        <v>681</v>
      </c>
      <c r="H36" s="249" t="s">
        <v>328</v>
      </c>
      <c r="I36" s="664">
        <v>27120</v>
      </c>
    </row>
    <row r="37" spans="1:9" x14ac:dyDescent="0.25">
      <c r="A37" s="630">
        <v>45875</v>
      </c>
      <c r="B37" s="11"/>
      <c r="C37" s="592" t="s">
        <v>805</v>
      </c>
      <c r="D37" s="592" t="s">
        <v>806</v>
      </c>
      <c r="E37" s="663" t="s">
        <v>343</v>
      </c>
      <c r="F37" s="247" t="s">
        <v>347</v>
      </c>
      <c r="G37" s="247" t="s">
        <v>681</v>
      </c>
      <c r="H37" s="249" t="s">
        <v>328</v>
      </c>
      <c r="I37" s="664">
        <v>55580</v>
      </c>
    </row>
    <row r="38" spans="1:9" x14ac:dyDescent="0.25">
      <c r="A38" s="630">
        <v>45875</v>
      </c>
      <c r="B38" s="11"/>
      <c r="C38" s="592" t="s">
        <v>807</v>
      </c>
      <c r="D38" s="592" t="s">
        <v>808</v>
      </c>
      <c r="E38" s="663" t="s">
        <v>326</v>
      </c>
      <c r="F38" s="250" t="s">
        <v>334</v>
      </c>
      <c r="G38" s="251" t="s">
        <v>665</v>
      </c>
      <c r="H38" s="249" t="s">
        <v>327</v>
      </c>
      <c r="I38" s="612">
        <v>5760</v>
      </c>
    </row>
    <row r="39" spans="1:9" x14ac:dyDescent="0.25">
      <c r="A39" s="630">
        <v>45875</v>
      </c>
      <c r="B39" s="11"/>
      <c r="C39" s="592" t="s">
        <v>809</v>
      </c>
      <c r="D39" s="592" t="s">
        <v>570</v>
      </c>
      <c r="E39" s="663" t="s">
        <v>326</v>
      </c>
      <c r="F39" s="247" t="s">
        <v>678</v>
      </c>
      <c r="G39" s="247" t="s">
        <v>681</v>
      </c>
      <c r="H39" s="249" t="s">
        <v>328</v>
      </c>
      <c r="I39" s="612">
        <v>206807.77</v>
      </c>
    </row>
    <row r="40" spans="1:9" ht="24.75" x14ac:dyDescent="0.25">
      <c r="A40" s="630">
        <v>45874</v>
      </c>
      <c r="B40" s="11"/>
      <c r="C40" s="592" t="s">
        <v>810</v>
      </c>
      <c r="D40" s="610" t="s">
        <v>811</v>
      </c>
      <c r="E40" s="663" t="s">
        <v>326</v>
      </c>
      <c r="F40" s="247" t="s">
        <v>663</v>
      </c>
      <c r="G40" s="247" t="s">
        <v>812</v>
      </c>
      <c r="H40" s="249" t="s">
        <v>677</v>
      </c>
      <c r="I40" s="612">
        <v>57975.65</v>
      </c>
    </row>
    <row r="41" spans="1:9" ht="24.75" x14ac:dyDescent="0.25">
      <c r="A41" s="630">
        <v>45874</v>
      </c>
      <c r="B41" s="11"/>
      <c r="C41" s="592" t="s">
        <v>813</v>
      </c>
      <c r="D41" s="610" t="s">
        <v>814</v>
      </c>
      <c r="E41" s="663" t="s">
        <v>326</v>
      </c>
      <c r="F41" s="247" t="s">
        <v>312</v>
      </c>
      <c r="G41" s="247" t="s">
        <v>812</v>
      </c>
      <c r="H41" s="249" t="s">
        <v>677</v>
      </c>
      <c r="I41" s="612">
        <v>163169</v>
      </c>
    </row>
    <row r="42" spans="1:9" x14ac:dyDescent="0.25">
      <c r="A42" s="630">
        <v>45870</v>
      </c>
      <c r="B42" s="11"/>
      <c r="C42" s="592" t="s">
        <v>815</v>
      </c>
      <c r="D42" s="633" t="s">
        <v>816</v>
      </c>
      <c r="E42" s="663" t="s">
        <v>326</v>
      </c>
      <c r="F42" s="250" t="s">
        <v>363</v>
      </c>
      <c r="G42" s="247" t="s">
        <v>341</v>
      </c>
      <c r="H42" s="249" t="s">
        <v>332</v>
      </c>
      <c r="I42" s="612">
        <v>5495</v>
      </c>
    </row>
    <row r="43" spans="1:9" x14ac:dyDescent="0.25">
      <c r="A43" s="630">
        <v>45875</v>
      </c>
      <c r="B43" s="11"/>
      <c r="C43" s="592" t="s">
        <v>817</v>
      </c>
      <c r="D43" s="610" t="s">
        <v>818</v>
      </c>
      <c r="E43" s="663" t="s">
        <v>326</v>
      </c>
      <c r="F43" s="250" t="s">
        <v>704</v>
      </c>
      <c r="G43" s="247" t="s">
        <v>367</v>
      </c>
      <c r="H43" s="249" t="s">
        <v>368</v>
      </c>
      <c r="I43" s="612">
        <v>15220.98</v>
      </c>
    </row>
    <row r="44" spans="1:9" x14ac:dyDescent="0.25">
      <c r="A44" s="630">
        <v>45875</v>
      </c>
      <c r="B44" s="11"/>
      <c r="C44" s="592" t="s">
        <v>819</v>
      </c>
      <c r="D44" s="610" t="s">
        <v>820</v>
      </c>
      <c r="E44" s="663" t="s">
        <v>326</v>
      </c>
      <c r="F44" s="250" t="s">
        <v>618</v>
      </c>
      <c r="G44" s="247" t="s">
        <v>367</v>
      </c>
      <c r="H44" s="249" t="s">
        <v>368</v>
      </c>
      <c r="I44" s="612">
        <v>560740.62</v>
      </c>
    </row>
    <row r="45" spans="1:9" x14ac:dyDescent="0.25">
      <c r="A45" s="630">
        <v>45877</v>
      </c>
      <c r="B45" s="11"/>
      <c r="C45" s="633" t="s">
        <v>821</v>
      </c>
      <c r="D45" s="592" t="s">
        <v>822</v>
      </c>
      <c r="E45" s="663" t="s">
        <v>326</v>
      </c>
      <c r="F45" s="560" t="s">
        <v>715</v>
      </c>
      <c r="G45" s="11" t="s">
        <v>716</v>
      </c>
      <c r="H45" s="328" t="s">
        <v>717</v>
      </c>
      <c r="I45" s="612">
        <v>169507</v>
      </c>
    </row>
    <row r="46" spans="1:9" x14ac:dyDescent="0.25">
      <c r="A46" s="630">
        <v>45877</v>
      </c>
      <c r="B46" s="11"/>
      <c r="C46" s="592" t="s">
        <v>823</v>
      </c>
      <c r="D46" s="592" t="s">
        <v>824</v>
      </c>
      <c r="E46" s="663" t="s">
        <v>326</v>
      </c>
      <c r="F46" s="250" t="s">
        <v>825</v>
      </c>
      <c r="G46" s="247" t="s">
        <v>682</v>
      </c>
      <c r="H46" s="249" t="s">
        <v>589</v>
      </c>
      <c r="I46" s="612">
        <v>4175</v>
      </c>
    </row>
    <row r="47" spans="1:9" x14ac:dyDescent="0.25">
      <c r="A47" s="630">
        <v>45877</v>
      </c>
      <c r="B47" s="11"/>
      <c r="C47" s="592" t="s">
        <v>826</v>
      </c>
      <c r="D47" s="592" t="s">
        <v>827</v>
      </c>
      <c r="E47" s="663" t="s">
        <v>326</v>
      </c>
      <c r="F47" s="250" t="s">
        <v>312</v>
      </c>
      <c r="G47" s="258" t="s">
        <v>711</v>
      </c>
      <c r="H47" s="258" t="s">
        <v>690</v>
      </c>
      <c r="I47" s="612">
        <v>6712</v>
      </c>
    </row>
    <row r="48" spans="1:9" x14ac:dyDescent="0.25">
      <c r="A48" s="630">
        <v>45877</v>
      </c>
      <c r="B48" s="11"/>
      <c r="C48" s="592" t="s">
        <v>828</v>
      </c>
      <c r="D48" s="592" t="s">
        <v>829</v>
      </c>
      <c r="E48" s="663" t="s">
        <v>326</v>
      </c>
      <c r="F48" s="250" t="s">
        <v>642</v>
      </c>
      <c r="G48" s="245" t="s">
        <v>578</v>
      </c>
      <c r="H48" s="249" t="s">
        <v>329</v>
      </c>
      <c r="I48" s="612">
        <v>9671.5300000000007</v>
      </c>
    </row>
    <row r="49" spans="1:9" ht="24.75" x14ac:dyDescent="0.25">
      <c r="A49" s="630">
        <v>45880</v>
      </c>
      <c r="B49" s="11"/>
      <c r="C49" s="592" t="s">
        <v>830</v>
      </c>
      <c r="D49" s="592" t="s">
        <v>831</v>
      </c>
      <c r="E49" s="663" t="s">
        <v>326</v>
      </c>
      <c r="F49" s="250" t="s">
        <v>678</v>
      </c>
      <c r="G49" s="247" t="s">
        <v>679</v>
      </c>
      <c r="H49" s="249" t="s">
        <v>680</v>
      </c>
      <c r="I49" s="612">
        <v>43657.760000000002</v>
      </c>
    </row>
    <row r="50" spans="1:9" x14ac:dyDescent="0.25">
      <c r="A50" s="667">
        <v>45876</v>
      </c>
      <c r="B50" s="328"/>
      <c r="C50" s="633" t="s">
        <v>832</v>
      </c>
      <c r="D50" s="633" t="s">
        <v>833</v>
      </c>
      <c r="E50" s="666" t="s">
        <v>326</v>
      </c>
      <c r="F50" s="668" t="s">
        <v>834</v>
      </c>
      <c r="G50" s="251" t="s">
        <v>835</v>
      </c>
      <c r="H50" s="249" t="s">
        <v>712</v>
      </c>
      <c r="I50" s="664">
        <v>40120</v>
      </c>
    </row>
    <row r="51" spans="1:9" x14ac:dyDescent="0.25">
      <c r="A51" s="631">
        <v>45880</v>
      </c>
      <c r="B51" s="503"/>
      <c r="C51" s="632" t="s">
        <v>836</v>
      </c>
      <c r="D51" s="592" t="s">
        <v>837</v>
      </c>
      <c r="E51" s="663" t="s">
        <v>326</v>
      </c>
      <c r="F51" s="250" t="s">
        <v>648</v>
      </c>
      <c r="G51" s="247" t="s">
        <v>644</v>
      </c>
      <c r="H51" s="249" t="s">
        <v>667</v>
      </c>
      <c r="I51" s="612">
        <v>73677.63</v>
      </c>
    </row>
    <row r="52" spans="1:9" x14ac:dyDescent="0.25">
      <c r="A52" s="630">
        <v>45880</v>
      </c>
      <c r="B52" s="11"/>
      <c r="C52" s="592" t="s">
        <v>838</v>
      </c>
      <c r="D52" s="592" t="s">
        <v>839</v>
      </c>
      <c r="E52" s="663" t="s">
        <v>326</v>
      </c>
      <c r="F52" s="250" t="s">
        <v>840</v>
      </c>
      <c r="G52" s="247" t="s">
        <v>540</v>
      </c>
      <c r="H52" s="249" t="s">
        <v>407</v>
      </c>
      <c r="I52" s="612">
        <v>23600</v>
      </c>
    </row>
    <row r="53" spans="1:9" x14ac:dyDescent="0.25">
      <c r="A53" s="630">
        <v>45894</v>
      </c>
      <c r="B53" s="11" t="s">
        <v>841</v>
      </c>
      <c r="C53" s="592" t="s">
        <v>842</v>
      </c>
      <c r="D53" s="592" t="s">
        <v>843</v>
      </c>
      <c r="E53" s="663" t="s">
        <v>343</v>
      </c>
      <c r="F53" s="250" t="s">
        <v>844</v>
      </c>
      <c r="G53" s="250" t="s">
        <v>845</v>
      </c>
      <c r="H53" s="249" t="s">
        <v>598</v>
      </c>
      <c r="I53" s="612">
        <v>157246.79999999999</v>
      </c>
    </row>
    <row r="54" spans="1:9" x14ac:dyDescent="0.25">
      <c r="A54" s="631">
        <v>45880</v>
      </c>
      <c r="B54" s="503"/>
      <c r="C54" s="632" t="s">
        <v>846</v>
      </c>
      <c r="D54" s="592" t="s">
        <v>570</v>
      </c>
      <c r="E54" s="663" t="s">
        <v>326</v>
      </c>
      <c r="F54" s="250" t="s">
        <v>847</v>
      </c>
      <c r="G54" s="245" t="s">
        <v>848</v>
      </c>
      <c r="H54" s="249" t="s">
        <v>329</v>
      </c>
      <c r="I54" s="612">
        <v>39176</v>
      </c>
    </row>
    <row r="55" spans="1:9" x14ac:dyDescent="0.25">
      <c r="A55" s="630">
        <v>45881</v>
      </c>
      <c r="B55" s="11"/>
      <c r="C55" s="633" t="s">
        <v>849</v>
      </c>
      <c r="D55" s="592" t="s">
        <v>850</v>
      </c>
      <c r="E55" s="663" t="s">
        <v>326</v>
      </c>
      <c r="F55" s="250" t="s">
        <v>641</v>
      </c>
      <c r="G55" s="247" t="s">
        <v>666</v>
      </c>
      <c r="H55" s="249" t="s">
        <v>331</v>
      </c>
      <c r="I55" s="612">
        <v>106002.8</v>
      </c>
    </row>
    <row r="56" spans="1:9" x14ac:dyDescent="0.25">
      <c r="A56" s="630">
        <v>45881</v>
      </c>
      <c r="B56" s="11"/>
      <c r="C56" s="592" t="s">
        <v>851</v>
      </c>
      <c r="D56" s="592" t="s">
        <v>852</v>
      </c>
      <c r="E56" s="663" t="s">
        <v>326</v>
      </c>
      <c r="F56" s="247" t="s">
        <v>684</v>
      </c>
      <c r="G56" s="247" t="s">
        <v>706</v>
      </c>
      <c r="H56" s="249" t="s">
        <v>327</v>
      </c>
      <c r="I56" s="612">
        <v>45586.73</v>
      </c>
    </row>
    <row r="57" spans="1:9" x14ac:dyDescent="0.25">
      <c r="A57" s="631">
        <v>45882</v>
      </c>
      <c r="B57" s="503"/>
      <c r="C57" s="634" t="s">
        <v>853</v>
      </c>
      <c r="D57" s="592" t="s">
        <v>854</v>
      </c>
      <c r="E57" s="663" t="s">
        <v>326</v>
      </c>
      <c r="F57" s="250" t="s">
        <v>840</v>
      </c>
      <c r="G57" s="247" t="s">
        <v>540</v>
      </c>
      <c r="H57" s="249" t="s">
        <v>407</v>
      </c>
      <c r="I57" s="612">
        <v>10325</v>
      </c>
    </row>
    <row r="58" spans="1:9" x14ac:dyDescent="0.25">
      <c r="A58" s="669">
        <v>45882</v>
      </c>
      <c r="B58" s="670"/>
      <c r="C58" s="634" t="s">
        <v>855</v>
      </c>
      <c r="D58" s="633" t="s">
        <v>856</v>
      </c>
      <c r="E58" s="663" t="s">
        <v>326</v>
      </c>
      <c r="F58" s="247" t="s">
        <v>857</v>
      </c>
      <c r="G58" s="245" t="s">
        <v>578</v>
      </c>
      <c r="H58" s="249" t="s">
        <v>329</v>
      </c>
      <c r="I58" s="664">
        <v>27205</v>
      </c>
    </row>
    <row r="59" spans="1:9" x14ac:dyDescent="0.25">
      <c r="A59" s="630">
        <v>45883</v>
      </c>
      <c r="B59" s="11"/>
      <c r="C59" s="633" t="s">
        <v>858</v>
      </c>
      <c r="D59" s="592" t="s">
        <v>859</v>
      </c>
      <c r="E59" s="663" t="s">
        <v>326</v>
      </c>
      <c r="F59" s="250" t="s">
        <v>312</v>
      </c>
      <c r="G59" s="247" t="s">
        <v>681</v>
      </c>
      <c r="H59" s="249" t="s">
        <v>328</v>
      </c>
      <c r="I59" s="612">
        <v>3544</v>
      </c>
    </row>
    <row r="60" spans="1:9" x14ac:dyDescent="0.25">
      <c r="A60" s="630">
        <v>45883</v>
      </c>
      <c r="B60" s="11"/>
      <c r="C60" s="592" t="s">
        <v>860</v>
      </c>
      <c r="D60" s="592" t="s">
        <v>861</v>
      </c>
      <c r="E60" s="663" t="s">
        <v>326</v>
      </c>
      <c r="F60" s="250" t="s">
        <v>312</v>
      </c>
      <c r="G60" s="247" t="s">
        <v>681</v>
      </c>
      <c r="H60" s="249" t="s">
        <v>328</v>
      </c>
      <c r="I60" s="612">
        <v>3204</v>
      </c>
    </row>
    <row r="61" spans="1:9" x14ac:dyDescent="0.25">
      <c r="A61" s="630">
        <v>45883</v>
      </c>
      <c r="B61" s="11"/>
      <c r="C61" s="592" t="s">
        <v>862</v>
      </c>
      <c r="D61" s="592" t="s">
        <v>863</v>
      </c>
      <c r="E61" s="663" t="s">
        <v>326</v>
      </c>
      <c r="F61" s="250" t="s">
        <v>418</v>
      </c>
      <c r="G61" s="247" t="s">
        <v>367</v>
      </c>
      <c r="H61" s="249" t="s">
        <v>368</v>
      </c>
      <c r="I61" s="664">
        <v>11797.92</v>
      </c>
    </row>
    <row r="62" spans="1:9" x14ac:dyDescent="0.25">
      <c r="A62" s="631">
        <v>45884</v>
      </c>
      <c r="B62" s="503"/>
      <c r="C62" s="632" t="s">
        <v>864</v>
      </c>
      <c r="D62" s="592" t="s">
        <v>708</v>
      </c>
      <c r="E62" s="663" t="s">
        <v>326</v>
      </c>
      <c r="F62" s="250" t="s">
        <v>840</v>
      </c>
      <c r="G62" s="247" t="s">
        <v>540</v>
      </c>
      <c r="H62" s="249" t="s">
        <v>407</v>
      </c>
      <c r="I62" s="612">
        <v>9440</v>
      </c>
    </row>
    <row r="63" spans="1:9" x14ac:dyDescent="0.25">
      <c r="A63" s="630">
        <v>45884</v>
      </c>
      <c r="B63" s="11"/>
      <c r="C63" s="592" t="s">
        <v>865</v>
      </c>
      <c r="D63" s="633" t="s">
        <v>866</v>
      </c>
      <c r="E63" s="663" t="s">
        <v>326</v>
      </c>
      <c r="F63" s="247" t="s">
        <v>723</v>
      </c>
      <c r="G63" s="247" t="s">
        <v>724</v>
      </c>
      <c r="H63" s="249" t="s">
        <v>712</v>
      </c>
      <c r="I63" s="612">
        <v>104500</v>
      </c>
    </row>
    <row r="64" spans="1:9" x14ac:dyDescent="0.25">
      <c r="A64" s="630">
        <v>45884</v>
      </c>
      <c r="B64" s="11"/>
      <c r="C64" s="592" t="s">
        <v>867</v>
      </c>
      <c r="D64" s="592" t="s">
        <v>868</v>
      </c>
      <c r="E64" s="663" t="s">
        <v>326</v>
      </c>
      <c r="F64" s="250" t="s">
        <v>825</v>
      </c>
      <c r="G64" s="247" t="s">
        <v>869</v>
      </c>
      <c r="H64" s="249" t="s">
        <v>598</v>
      </c>
      <c r="I64" s="612">
        <v>1245</v>
      </c>
    </row>
    <row r="65" spans="1:9" x14ac:dyDescent="0.25">
      <c r="A65" s="630">
        <v>45884</v>
      </c>
      <c r="B65" s="11"/>
      <c r="C65" s="592" t="s">
        <v>870</v>
      </c>
      <c r="D65" s="592" t="s">
        <v>871</v>
      </c>
      <c r="E65" s="663" t="s">
        <v>326</v>
      </c>
      <c r="F65" s="247" t="s">
        <v>857</v>
      </c>
      <c r="G65" s="245" t="s">
        <v>578</v>
      </c>
      <c r="H65" s="249" t="s">
        <v>329</v>
      </c>
      <c r="I65" s="612">
        <v>485</v>
      </c>
    </row>
    <row r="66" spans="1:9" x14ac:dyDescent="0.25">
      <c r="A66" s="631">
        <v>45884</v>
      </c>
      <c r="B66" s="503"/>
      <c r="C66" s="632" t="s">
        <v>872</v>
      </c>
      <c r="D66" s="633" t="s">
        <v>873</v>
      </c>
      <c r="E66" s="663" t="s">
        <v>326</v>
      </c>
      <c r="F66" s="247" t="s">
        <v>334</v>
      </c>
      <c r="G66" s="247" t="s">
        <v>874</v>
      </c>
      <c r="H66" s="249" t="s">
        <v>331</v>
      </c>
      <c r="I66" s="612">
        <v>16000</v>
      </c>
    </row>
    <row r="67" spans="1:9" x14ac:dyDescent="0.25">
      <c r="A67" s="630">
        <v>45884</v>
      </c>
      <c r="B67" s="11"/>
      <c r="C67" s="592" t="s">
        <v>875</v>
      </c>
      <c r="D67" s="633" t="s">
        <v>876</v>
      </c>
      <c r="E67" s="663" t="s">
        <v>326</v>
      </c>
      <c r="F67" s="247" t="s">
        <v>725</v>
      </c>
      <c r="G67" s="247" t="s">
        <v>666</v>
      </c>
      <c r="H67" s="249" t="s">
        <v>331</v>
      </c>
      <c r="I67" s="612">
        <v>21521.4</v>
      </c>
    </row>
    <row r="68" spans="1:9" x14ac:dyDescent="0.25">
      <c r="A68" s="630">
        <v>45884</v>
      </c>
      <c r="B68" s="11"/>
      <c r="C68" s="592" t="s">
        <v>877</v>
      </c>
      <c r="D68" s="592" t="s">
        <v>878</v>
      </c>
      <c r="E68" s="663" t="s">
        <v>326</v>
      </c>
      <c r="F68" s="250" t="s">
        <v>623</v>
      </c>
      <c r="G68" s="247" t="s">
        <v>624</v>
      </c>
      <c r="H68" s="249" t="s">
        <v>565</v>
      </c>
      <c r="I68" s="612">
        <v>10000</v>
      </c>
    </row>
    <row r="69" spans="1:9" x14ac:dyDescent="0.25">
      <c r="A69" s="630">
        <v>45852</v>
      </c>
      <c r="B69" s="11"/>
      <c r="C69" s="592" t="s">
        <v>879</v>
      </c>
      <c r="D69" s="633" t="s">
        <v>880</v>
      </c>
      <c r="E69" s="663" t="s">
        <v>326</v>
      </c>
      <c r="F69" s="560" t="s">
        <v>642</v>
      </c>
      <c r="G69" s="252" t="s">
        <v>722</v>
      </c>
      <c r="H69" s="229" t="s">
        <v>675</v>
      </c>
      <c r="I69" s="612">
        <v>27652.67</v>
      </c>
    </row>
    <row r="70" spans="1:9" x14ac:dyDescent="0.25">
      <c r="A70" s="630">
        <v>45885</v>
      </c>
      <c r="B70" s="11"/>
      <c r="C70" s="592" t="s">
        <v>881</v>
      </c>
      <c r="D70" s="592" t="s">
        <v>882</v>
      </c>
      <c r="E70" s="663" t="s">
        <v>326</v>
      </c>
      <c r="F70" s="250" t="s">
        <v>291</v>
      </c>
      <c r="G70" s="247" t="s">
        <v>330</v>
      </c>
      <c r="H70" s="249" t="s">
        <v>336</v>
      </c>
      <c r="I70" s="612">
        <v>4079.82</v>
      </c>
    </row>
    <row r="71" spans="1:9" x14ac:dyDescent="0.25">
      <c r="A71" s="630">
        <v>45885</v>
      </c>
      <c r="B71" s="11"/>
      <c r="C71" s="592" t="s">
        <v>883</v>
      </c>
      <c r="D71" s="592" t="s">
        <v>884</v>
      </c>
      <c r="E71" s="663" t="s">
        <v>326</v>
      </c>
      <c r="F71" s="250" t="s">
        <v>291</v>
      </c>
      <c r="G71" s="247" t="s">
        <v>330</v>
      </c>
      <c r="H71" s="249" t="s">
        <v>336</v>
      </c>
      <c r="I71" s="612">
        <v>12778.04</v>
      </c>
    </row>
    <row r="72" spans="1:9" x14ac:dyDescent="0.25">
      <c r="A72" s="630">
        <v>45887</v>
      </c>
      <c r="B72" s="11"/>
      <c r="C72" s="592" t="s">
        <v>885</v>
      </c>
      <c r="D72" s="633" t="s">
        <v>886</v>
      </c>
      <c r="E72" s="663" t="s">
        <v>326</v>
      </c>
      <c r="F72" s="328" t="s">
        <v>887</v>
      </c>
      <c r="G72" s="251" t="s">
        <v>706</v>
      </c>
      <c r="H72" s="249" t="s">
        <v>712</v>
      </c>
      <c r="I72" s="612">
        <v>2273.11</v>
      </c>
    </row>
    <row r="73" spans="1:9" x14ac:dyDescent="0.25">
      <c r="A73" s="631">
        <v>45887</v>
      </c>
      <c r="B73" s="503"/>
      <c r="C73" s="632" t="s">
        <v>888</v>
      </c>
      <c r="D73" s="633" t="s">
        <v>889</v>
      </c>
      <c r="E73" s="663" t="s">
        <v>326</v>
      </c>
      <c r="F73" s="247" t="s">
        <v>619</v>
      </c>
      <c r="G73" s="247" t="s">
        <v>367</v>
      </c>
      <c r="H73" s="249" t="s">
        <v>368</v>
      </c>
      <c r="I73" s="612">
        <v>13500.5</v>
      </c>
    </row>
    <row r="74" spans="1:9" x14ac:dyDescent="0.25">
      <c r="A74" s="630">
        <v>45887</v>
      </c>
      <c r="B74" s="11"/>
      <c r="C74" s="592" t="s">
        <v>890</v>
      </c>
      <c r="D74" s="633" t="s">
        <v>891</v>
      </c>
      <c r="E74" s="663" t="s">
        <v>343</v>
      </c>
      <c r="F74" s="560" t="s">
        <v>621</v>
      </c>
      <c r="G74" s="247" t="s">
        <v>337</v>
      </c>
      <c r="H74" s="249" t="s">
        <v>368</v>
      </c>
      <c r="I74" s="612">
        <v>175000</v>
      </c>
    </row>
    <row r="75" spans="1:9" x14ac:dyDescent="0.25">
      <c r="A75" s="630">
        <v>45889</v>
      </c>
      <c r="B75" s="11"/>
      <c r="C75" s="592" t="s">
        <v>892</v>
      </c>
      <c r="D75" s="633" t="s">
        <v>893</v>
      </c>
      <c r="E75" s="663" t="s">
        <v>326</v>
      </c>
      <c r="F75" s="248" t="s">
        <v>713</v>
      </c>
      <c r="G75" s="247" t="s">
        <v>706</v>
      </c>
      <c r="H75" s="249" t="s">
        <v>331</v>
      </c>
      <c r="I75" s="612">
        <v>31966.49</v>
      </c>
    </row>
    <row r="76" spans="1:9" x14ac:dyDescent="0.25">
      <c r="A76" s="630">
        <v>45889</v>
      </c>
      <c r="B76" s="11"/>
      <c r="C76" s="592" t="s">
        <v>894</v>
      </c>
      <c r="D76" s="633" t="s">
        <v>895</v>
      </c>
      <c r="E76" s="663" t="s">
        <v>326</v>
      </c>
      <c r="F76" s="248" t="s">
        <v>628</v>
      </c>
      <c r="G76" s="247" t="s">
        <v>344</v>
      </c>
      <c r="H76" s="249" t="s">
        <v>333</v>
      </c>
      <c r="I76" s="612">
        <v>820630</v>
      </c>
    </row>
    <row r="77" spans="1:9" x14ac:dyDescent="0.25">
      <c r="A77" s="630">
        <v>45889</v>
      </c>
      <c r="B77" s="11"/>
      <c r="C77" s="592" t="s">
        <v>896</v>
      </c>
      <c r="D77" s="635" t="s">
        <v>897</v>
      </c>
      <c r="E77" s="663" t="s">
        <v>326</v>
      </c>
      <c r="F77" s="203" t="s">
        <v>898</v>
      </c>
      <c r="G77" s="11" t="s">
        <v>899</v>
      </c>
      <c r="H77" s="11" t="s">
        <v>686</v>
      </c>
      <c r="I77" s="612">
        <v>26066.2</v>
      </c>
    </row>
    <row r="78" spans="1:9" x14ac:dyDescent="0.25">
      <c r="A78" s="630">
        <v>45889</v>
      </c>
      <c r="B78" s="11"/>
      <c r="C78" s="592" t="s">
        <v>900</v>
      </c>
      <c r="D78" s="633" t="s">
        <v>901</v>
      </c>
      <c r="E78" s="663" t="s">
        <v>326</v>
      </c>
      <c r="F78" s="560" t="s">
        <v>625</v>
      </c>
      <c r="G78" s="247" t="s">
        <v>341</v>
      </c>
      <c r="H78" s="249" t="s">
        <v>332</v>
      </c>
      <c r="I78" s="612">
        <v>4500</v>
      </c>
    </row>
    <row r="79" spans="1:9" x14ac:dyDescent="0.25">
      <c r="A79" s="630"/>
      <c r="B79" s="11"/>
      <c r="C79" s="592" t="s">
        <v>902</v>
      </c>
      <c r="D79" s="633"/>
      <c r="E79" s="663"/>
      <c r="F79" s="560" t="s">
        <v>903</v>
      </c>
      <c r="G79" s="247" t="s">
        <v>904</v>
      </c>
      <c r="H79" s="249"/>
      <c r="I79" s="612"/>
    </row>
    <row r="80" spans="1:9" x14ac:dyDescent="0.25">
      <c r="A80" s="630">
        <v>45890</v>
      </c>
      <c r="B80" s="11"/>
      <c r="C80" s="592" t="s">
        <v>905</v>
      </c>
      <c r="D80" s="633" t="s">
        <v>906</v>
      </c>
      <c r="E80" s="663" t="s">
        <v>326</v>
      </c>
      <c r="F80" s="560" t="s">
        <v>642</v>
      </c>
      <c r="G80" s="251" t="s">
        <v>907</v>
      </c>
      <c r="H80" s="249">
        <v>2611.0100000000002</v>
      </c>
      <c r="I80" s="612">
        <v>14744.95</v>
      </c>
    </row>
    <row r="81" spans="1:9" x14ac:dyDescent="0.25">
      <c r="A81" s="671">
        <v>45890</v>
      </c>
      <c r="B81" s="11"/>
      <c r="C81" s="610" t="s">
        <v>908</v>
      </c>
      <c r="D81" s="610" t="s">
        <v>909</v>
      </c>
      <c r="E81" s="663" t="s">
        <v>326</v>
      </c>
      <c r="F81" s="250" t="s">
        <v>840</v>
      </c>
      <c r="G81" s="247" t="s">
        <v>540</v>
      </c>
      <c r="H81" s="249" t="s">
        <v>407</v>
      </c>
      <c r="I81" s="612">
        <v>9705.5</v>
      </c>
    </row>
    <row r="82" spans="1:9" x14ac:dyDescent="0.25">
      <c r="A82" s="630">
        <v>45894</v>
      </c>
      <c r="B82" s="11"/>
      <c r="C82" s="592" t="s">
        <v>910</v>
      </c>
      <c r="D82" s="633" t="s">
        <v>911</v>
      </c>
      <c r="E82" s="663" t="s">
        <v>326</v>
      </c>
      <c r="F82" s="560" t="s">
        <v>709</v>
      </c>
      <c r="G82" s="252" t="s">
        <v>912</v>
      </c>
      <c r="H82" s="672" t="s">
        <v>710</v>
      </c>
      <c r="I82" s="612">
        <v>14900</v>
      </c>
    </row>
    <row r="83" spans="1:9" x14ac:dyDescent="0.25">
      <c r="A83" s="631">
        <v>45894</v>
      </c>
      <c r="B83" s="503"/>
      <c r="C83" s="632" t="s">
        <v>913</v>
      </c>
      <c r="D83" s="633" t="s">
        <v>914</v>
      </c>
      <c r="E83" s="663" t="s">
        <v>326</v>
      </c>
      <c r="F83" s="11" t="s">
        <v>714</v>
      </c>
      <c r="G83" s="247" t="s">
        <v>626</v>
      </c>
      <c r="H83" s="249" t="s">
        <v>627</v>
      </c>
      <c r="I83" s="612">
        <v>58082</v>
      </c>
    </row>
    <row r="84" spans="1:9" x14ac:dyDescent="0.25">
      <c r="A84" s="630">
        <v>45894</v>
      </c>
      <c r="B84" s="11"/>
      <c r="C84" s="592" t="s">
        <v>915</v>
      </c>
      <c r="D84" s="592" t="s">
        <v>916</v>
      </c>
      <c r="E84" s="663" t="s">
        <v>326</v>
      </c>
      <c r="F84" s="247" t="s">
        <v>917</v>
      </c>
      <c r="G84" s="245" t="s">
        <v>722</v>
      </c>
      <c r="H84" s="249" t="s">
        <v>675</v>
      </c>
      <c r="I84" s="612">
        <v>59150</v>
      </c>
    </row>
    <row r="85" spans="1:9" x14ac:dyDescent="0.25">
      <c r="A85" s="630">
        <v>45894</v>
      </c>
      <c r="B85" s="11"/>
      <c r="C85" s="592" t="s">
        <v>918</v>
      </c>
      <c r="D85" s="592" t="s">
        <v>919</v>
      </c>
      <c r="E85" s="663" t="s">
        <v>326</v>
      </c>
      <c r="F85" s="247" t="s">
        <v>917</v>
      </c>
      <c r="G85" s="245" t="s">
        <v>578</v>
      </c>
      <c r="H85" s="249" t="s">
        <v>329</v>
      </c>
      <c r="I85" s="612">
        <v>77400</v>
      </c>
    </row>
    <row r="86" spans="1:9" x14ac:dyDescent="0.25">
      <c r="A86" s="630">
        <v>45890</v>
      </c>
      <c r="B86" s="11"/>
      <c r="C86" s="592" t="s">
        <v>920</v>
      </c>
      <c r="D86" s="592" t="s">
        <v>921</v>
      </c>
      <c r="E86" s="663" t="s">
        <v>343</v>
      </c>
      <c r="F86" s="247" t="s">
        <v>619</v>
      </c>
      <c r="G86" s="247" t="s">
        <v>367</v>
      </c>
      <c r="H86" s="249" t="s">
        <v>368</v>
      </c>
      <c r="I86" s="612">
        <v>21073</v>
      </c>
    </row>
    <row r="87" spans="1:9" x14ac:dyDescent="0.25">
      <c r="A87" s="671">
        <v>45895</v>
      </c>
      <c r="B87" s="11"/>
      <c r="C87" s="610" t="s">
        <v>922</v>
      </c>
      <c r="D87" s="610" t="s">
        <v>923</v>
      </c>
      <c r="E87" s="663" t="s">
        <v>326</v>
      </c>
      <c r="F87" s="11" t="s">
        <v>924</v>
      </c>
      <c r="G87" s="11" t="s">
        <v>925</v>
      </c>
      <c r="H87" s="328" t="s">
        <v>747</v>
      </c>
      <c r="I87" s="664">
        <v>29736</v>
      </c>
    </row>
    <row r="88" spans="1:9" x14ac:dyDescent="0.25">
      <c r="A88" s="671">
        <v>45895</v>
      </c>
      <c r="B88" s="11"/>
      <c r="C88" s="610" t="s">
        <v>926</v>
      </c>
      <c r="D88" s="610" t="s">
        <v>880</v>
      </c>
      <c r="E88" s="663" t="s">
        <v>326</v>
      </c>
      <c r="F88" s="247" t="s">
        <v>725</v>
      </c>
      <c r="G88" s="247" t="s">
        <v>666</v>
      </c>
      <c r="H88" s="249" t="s">
        <v>331</v>
      </c>
      <c r="I88" s="664">
        <v>1282.1099999999999</v>
      </c>
    </row>
    <row r="89" spans="1:9" x14ac:dyDescent="0.25">
      <c r="A89" s="671">
        <v>45896</v>
      </c>
      <c r="B89" s="11"/>
      <c r="C89" s="610" t="s">
        <v>927</v>
      </c>
      <c r="D89" s="610" t="s">
        <v>928</v>
      </c>
      <c r="E89" s="663" t="s">
        <v>326</v>
      </c>
      <c r="F89" s="11" t="s">
        <v>929</v>
      </c>
      <c r="G89" s="11" t="s">
        <v>925</v>
      </c>
      <c r="H89" s="328" t="s">
        <v>747</v>
      </c>
      <c r="I89" s="664">
        <v>21409.919999999998</v>
      </c>
    </row>
    <row r="90" spans="1:9" x14ac:dyDescent="0.25">
      <c r="A90" s="671">
        <v>45896</v>
      </c>
      <c r="B90" s="11"/>
      <c r="C90" s="610" t="s">
        <v>930</v>
      </c>
      <c r="D90" s="610" t="s">
        <v>931</v>
      </c>
      <c r="E90" s="663" t="s">
        <v>326</v>
      </c>
      <c r="F90" s="247" t="s">
        <v>932</v>
      </c>
      <c r="G90" s="247" t="s">
        <v>681</v>
      </c>
      <c r="H90" s="249" t="s">
        <v>328</v>
      </c>
      <c r="I90" s="612">
        <v>11253.2</v>
      </c>
    </row>
    <row r="91" spans="1:9" x14ac:dyDescent="0.25">
      <c r="A91" s="671">
        <v>45897</v>
      </c>
      <c r="B91" s="11"/>
      <c r="C91" s="610" t="s">
        <v>933</v>
      </c>
      <c r="D91" s="610" t="s">
        <v>934</v>
      </c>
      <c r="E91" s="663" t="s">
        <v>326</v>
      </c>
      <c r="F91" s="560" t="s">
        <v>642</v>
      </c>
      <c r="G91" s="247" t="s">
        <v>935</v>
      </c>
      <c r="H91" s="249" t="s">
        <v>936</v>
      </c>
      <c r="I91" s="612">
        <v>5890.01</v>
      </c>
    </row>
    <row r="92" spans="1:9" x14ac:dyDescent="0.25">
      <c r="A92" s="667">
        <v>45894</v>
      </c>
      <c r="B92" s="328"/>
      <c r="C92" s="633" t="s">
        <v>937</v>
      </c>
      <c r="D92" s="633" t="s">
        <v>938</v>
      </c>
      <c r="E92" s="666" t="s">
        <v>326</v>
      </c>
      <c r="F92" s="251" t="s">
        <v>725</v>
      </c>
      <c r="G92" s="251" t="s">
        <v>666</v>
      </c>
      <c r="H92" s="249" t="s">
        <v>331</v>
      </c>
      <c r="I92" s="664">
        <v>7215</v>
      </c>
    </row>
    <row r="93" spans="1:9" x14ac:dyDescent="0.25">
      <c r="A93" s="671">
        <v>45896</v>
      </c>
      <c r="B93" s="11"/>
      <c r="C93" s="610" t="s">
        <v>939</v>
      </c>
      <c r="D93" s="610" t="s">
        <v>940</v>
      </c>
      <c r="E93" s="663" t="s">
        <v>326</v>
      </c>
      <c r="F93" s="250" t="s">
        <v>840</v>
      </c>
      <c r="G93" s="247" t="s">
        <v>540</v>
      </c>
      <c r="H93" s="249" t="s">
        <v>407</v>
      </c>
      <c r="I93" s="612">
        <v>15623</v>
      </c>
    </row>
    <row r="94" spans="1:9" x14ac:dyDescent="0.25">
      <c r="A94" s="671">
        <v>45898</v>
      </c>
      <c r="B94" s="11"/>
      <c r="C94" s="610" t="s">
        <v>941</v>
      </c>
      <c r="D94" s="610" t="s">
        <v>942</v>
      </c>
      <c r="E94" s="663" t="s">
        <v>326</v>
      </c>
      <c r="F94" s="560" t="s">
        <v>943</v>
      </c>
      <c r="G94" s="247" t="s">
        <v>682</v>
      </c>
      <c r="H94" s="249" t="s">
        <v>589</v>
      </c>
      <c r="I94" s="612">
        <v>4725</v>
      </c>
    </row>
    <row r="95" spans="1:9" x14ac:dyDescent="0.25">
      <c r="A95" s="671">
        <v>45898</v>
      </c>
      <c r="B95" s="11"/>
      <c r="C95" s="610" t="s">
        <v>944</v>
      </c>
      <c r="D95" s="610" t="s">
        <v>945</v>
      </c>
      <c r="E95" s="663" t="s">
        <v>343</v>
      </c>
      <c r="F95" s="560" t="s">
        <v>621</v>
      </c>
      <c r="G95" s="247" t="s">
        <v>337</v>
      </c>
      <c r="H95" s="249" t="s">
        <v>368</v>
      </c>
      <c r="I95" s="612">
        <v>125000</v>
      </c>
    </row>
    <row r="96" spans="1:9" x14ac:dyDescent="0.25">
      <c r="A96" s="671">
        <v>45898</v>
      </c>
      <c r="B96" s="11"/>
      <c r="C96" s="610" t="s">
        <v>946</v>
      </c>
      <c r="D96" s="610" t="s">
        <v>947</v>
      </c>
      <c r="E96" s="663" t="s">
        <v>326</v>
      </c>
      <c r="F96" s="250" t="s">
        <v>840</v>
      </c>
      <c r="G96" s="247" t="s">
        <v>540</v>
      </c>
      <c r="H96" s="249" t="s">
        <v>407</v>
      </c>
      <c r="I96" s="612">
        <v>24780</v>
      </c>
    </row>
    <row r="97" spans="1:9" x14ac:dyDescent="0.25">
      <c r="A97" s="671">
        <v>45898</v>
      </c>
      <c r="B97" s="11"/>
      <c r="C97" s="610" t="s">
        <v>948</v>
      </c>
      <c r="D97" s="610" t="s">
        <v>949</v>
      </c>
      <c r="E97" s="663" t="s">
        <v>326</v>
      </c>
      <c r="F97" s="560" t="s">
        <v>648</v>
      </c>
      <c r="G97" s="247" t="s">
        <v>950</v>
      </c>
      <c r="H97" s="249" t="s">
        <v>951</v>
      </c>
      <c r="I97" s="612">
        <v>14815.01</v>
      </c>
    </row>
    <row r="98" spans="1:9" x14ac:dyDescent="0.25">
      <c r="A98" s="671">
        <v>45898</v>
      </c>
      <c r="B98" s="11"/>
      <c r="C98" s="610" t="s">
        <v>952</v>
      </c>
      <c r="D98" s="610" t="s">
        <v>953</v>
      </c>
      <c r="E98" s="663" t="s">
        <v>326</v>
      </c>
      <c r="F98" s="560" t="s">
        <v>364</v>
      </c>
      <c r="G98" s="252" t="s">
        <v>344</v>
      </c>
      <c r="H98" s="672" t="s">
        <v>333</v>
      </c>
      <c r="I98" s="612">
        <v>112977</v>
      </c>
    </row>
    <row r="99" spans="1:9" ht="15.75" x14ac:dyDescent="0.25">
      <c r="A99" s="11"/>
      <c r="B99" s="11"/>
      <c r="C99" s="11"/>
      <c r="D99" s="11"/>
      <c r="E99" s="636"/>
      <c r="F99" s="11"/>
      <c r="G99" s="810" t="s">
        <v>264</v>
      </c>
      <c r="H99" s="811"/>
      <c r="I99" s="15">
        <f>SUM(I8:I98)</f>
        <v>7224685.2700000014</v>
      </c>
    </row>
    <row r="100" spans="1:9" x14ac:dyDescent="0.25">
      <c r="E100" s="17"/>
    </row>
    <row r="101" spans="1:9" ht="15.75" x14ac:dyDescent="0.25">
      <c r="A101" s="571" t="s">
        <v>687</v>
      </c>
      <c r="B101" s="571"/>
      <c r="C101" s="571"/>
      <c r="D101" s="571"/>
      <c r="E101" s="17"/>
      <c r="G101" s="208" t="s">
        <v>688</v>
      </c>
    </row>
    <row r="102" spans="1:9" x14ac:dyDescent="0.25">
      <c r="E102" s="17"/>
    </row>
    <row r="103" spans="1:9" x14ac:dyDescent="0.25">
      <c r="A103" s="558" t="s">
        <v>265</v>
      </c>
      <c r="B103" s="558"/>
      <c r="C103" s="558" t="s">
        <v>266</v>
      </c>
      <c r="D103" s="558" t="s">
        <v>9</v>
      </c>
      <c r="E103" s="17"/>
      <c r="G103" s="558" t="s">
        <v>16</v>
      </c>
      <c r="H103" s="558" t="s">
        <v>266</v>
      </c>
      <c r="I103" s="558" t="s">
        <v>9</v>
      </c>
    </row>
    <row r="104" spans="1:9" x14ac:dyDescent="0.25">
      <c r="A104" s="11" t="s">
        <v>336</v>
      </c>
      <c r="B104" s="11"/>
      <c r="C104" s="9">
        <v>3</v>
      </c>
      <c r="D104" s="612">
        <f>I35+I70+I71</f>
        <v>118650.9</v>
      </c>
      <c r="E104" s="17"/>
      <c r="G104" s="11" t="s">
        <v>267</v>
      </c>
      <c r="H104" s="11">
        <f>89-3</f>
        <v>86</v>
      </c>
      <c r="I104" s="15">
        <f>I99-I8-I44-I76</f>
        <v>5560114.6500000013</v>
      </c>
    </row>
    <row r="105" spans="1:9" x14ac:dyDescent="0.25">
      <c r="A105" s="11" t="s">
        <v>332</v>
      </c>
      <c r="B105" s="11"/>
      <c r="C105" s="9">
        <v>2</v>
      </c>
      <c r="D105" s="612">
        <f>I42+I78</f>
        <v>9995</v>
      </c>
      <c r="E105" s="17"/>
      <c r="G105" s="11" t="s">
        <v>689</v>
      </c>
      <c r="H105" s="11">
        <v>3</v>
      </c>
      <c r="I105" s="612">
        <f>I8+I44+I76</f>
        <v>1664570.62</v>
      </c>
    </row>
    <row r="106" spans="1:9" x14ac:dyDescent="0.25">
      <c r="A106" s="11" t="s">
        <v>600</v>
      </c>
      <c r="B106" s="11"/>
      <c r="C106" s="9">
        <v>1</v>
      </c>
      <c r="D106" s="612">
        <f>I26</f>
        <v>18500</v>
      </c>
      <c r="E106" s="17"/>
      <c r="G106" s="11" t="s">
        <v>629</v>
      </c>
      <c r="H106" s="11">
        <v>0</v>
      </c>
      <c r="I106" s="11"/>
    </row>
    <row r="107" spans="1:9" x14ac:dyDescent="0.25">
      <c r="A107" s="11" t="s">
        <v>747</v>
      </c>
      <c r="B107" s="11"/>
      <c r="C107" s="9">
        <v>3</v>
      </c>
      <c r="D107" s="612">
        <f>I8+I87+I89</f>
        <v>334345.92</v>
      </c>
      <c r="E107" s="17"/>
      <c r="G107" s="11"/>
      <c r="H107" s="11"/>
      <c r="I107" s="11"/>
    </row>
    <row r="108" spans="1:9" x14ac:dyDescent="0.25">
      <c r="A108" s="11" t="s">
        <v>717</v>
      </c>
      <c r="B108" s="11"/>
      <c r="C108" s="9">
        <v>1</v>
      </c>
      <c r="D108" s="612">
        <f>I45</f>
        <v>169507</v>
      </c>
      <c r="E108" s="17"/>
      <c r="G108" s="11"/>
      <c r="H108" s="11"/>
      <c r="I108" s="11"/>
    </row>
    <row r="109" spans="1:9" x14ac:dyDescent="0.25">
      <c r="A109" s="11" t="s">
        <v>686</v>
      </c>
      <c r="B109" s="11"/>
      <c r="C109" s="9">
        <v>1</v>
      </c>
      <c r="D109" s="664">
        <f>I77</f>
        <v>26066.2</v>
      </c>
      <c r="E109" s="17"/>
      <c r="G109" s="11"/>
      <c r="H109" s="11"/>
      <c r="I109" s="11"/>
    </row>
    <row r="110" spans="1:9" x14ac:dyDescent="0.25">
      <c r="A110" s="11" t="s">
        <v>565</v>
      </c>
      <c r="B110" s="11"/>
      <c r="C110" s="9">
        <v>1</v>
      </c>
      <c r="D110" s="612">
        <f>I68</f>
        <v>10000</v>
      </c>
      <c r="E110" s="17"/>
      <c r="G110" s="11"/>
      <c r="H110" s="11"/>
      <c r="I110" s="11"/>
    </row>
    <row r="111" spans="1:9" x14ac:dyDescent="0.25">
      <c r="A111" s="11" t="s">
        <v>407</v>
      </c>
      <c r="B111" s="11"/>
      <c r="C111" s="9">
        <v>6</v>
      </c>
      <c r="D111" s="612">
        <f>I52+I57+I62+I81+I93+I96</f>
        <v>93473.5</v>
      </c>
      <c r="E111" s="17"/>
      <c r="G111" s="11"/>
      <c r="H111" s="11"/>
      <c r="I111" s="11"/>
    </row>
    <row r="112" spans="1:9" x14ac:dyDescent="0.25">
      <c r="A112" s="11" t="s">
        <v>328</v>
      </c>
      <c r="B112" s="11"/>
      <c r="C112" s="9">
        <v>8</v>
      </c>
      <c r="D112" s="612">
        <f>I36+I37+I39+31675.25+149840.82+I59+I60+I90</f>
        <v>489025.04000000004</v>
      </c>
      <c r="E112" s="17"/>
      <c r="G112" s="11"/>
      <c r="H112" s="11"/>
      <c r="I112" s="11"/>
    </row>
    <row r="113" spans="1:9" x14ac:dyDescent="0.25">
      <c r="A113" s="11" t="s">
        <v>690</v>
      </c>
      <c r="B113" s="11"/>
      <c r="C113" s="9">
        <v>1</v>
      </c>
      <c r="D113" s="612">
        <f>29500+270+6172+9782.78</f>
        <v>45724.78</v>
      </c>
      <c r="E113" s="17"/>
      <c r="G113" s="11"/>
      <c r="H113" s="11"/>
      <c r="I113" s="11"/>
    </row>
    <row r="114" spans="1:9" x14ac:dyDescent="0.25">
      <c r="A114" s="11" t="s">
        <v>331</v>
      </c>
      <c r="B114" s="11"/>
      <c r="C114" s="515">
        <v>15</v>
      </c>
      <c r="D114" s="664">
        <f>I12+I14+130000+124700+I22+I23+I28+I32+I55+I66+I67+I75+I88+I92+139228</f>
        <v>1045899.1000000001</v>
      </c>
      <c r="E114" s="17"/>
      <c r="G114" s="11"/>
      <c r="H114" s="11"/>
      <c r="I114" s="11"/>
    </row>
    <row r="115" spans="1:9" x14ac:dyDescent="0.25">
      <c r="A115" s="11" t="s">
        <v>710</v>
      </c>
      <c r="B115" s="11"/>
      <c r="C115" s="9">
        <v>1</v>
      </c>
      <c r="D115" s="612">
        <f>I82</f>
        <v>14900</v>
      </c>
      <c r="E115" s="17"/>
      <c r="G115" s="11"/>
      <c r="H115" s="11"/>
      <c r="I115" s="11"/>
    </row>
    <row r="116" spans="1:9" x14ac:dyDescent="0.25">
      <c r="A116" s="11" t="s">
        <v>333</v>
      </c>
      <c r="B116" s="11"/>
      <c r="C116" s="9">
        <v>2</v>
      </c>
      <c r="D116" s="612">
        <f>I76+I98</f>
        <v>933607</v>
      </c>
      <c r="E116" s="17"/>
      <c r="G116" s="11"/>
      <c r="H116" s="11"/>
      <c r="I116" s="11"/>
    </row>
    <row r="117" spans="1:9" x14ac:dyDescent="0.25">
      <c r="A117" s="11" t="s">
        <v>627</v>
      </c>
      <c r="B117" s="11"/>
      <c r="C117" s="9">
        <v>1</v>
      </c>
      <c r="D117" s="612">
        <f>I83</f>
        <v>58082</v>
      </c>
      <c r="E117" s="17"/>
      <c r="G117" s="11"/>
      <c r="H117" s="11"/>
      <c r="I117" s="11"/>
    </row>
    <row r="118" spans="1:9" x14ac:dyDescent="0.25">
      <c r="A118" s="11" t="s">
        <v>368</v>
      </c>
      <c r="B118" s="11"/>
      <c r="C118" s="9">
        <v>14</v>
      </c>
      <c r="D118" s="612">
        <f>I10+I24+I25+I27+I29+I30+I31+I43+I44+I61+I73+I74+I86+I95</f>
        <v>2060388.37</v>
      </c>
      <c r="E118" s="17"/>
      <c r="G118" s="11"/>
      <c r="H118" s="11"/>
      <c r="I118" s="11"/>
    </row>
    <row r="119" spans="1:9" x14ac:dyDescent="0.25">
      <c r="A119" s="11" t="s">
        <v>598</v>
      </c>
      <c r="B119" s="11"/>
      <c r="C119" s="9">
        <v>3</v>
      </c>
      <c r="D119" s="612">
        <f>33874.98+I53+I64</f>
        <v>192366.78</v>
      </c>
      <c r="E119" s="17"/>
      <c r="G119" s="11"/>
      <c r="H119" s="11"/>
      <c r="I119" s="11"/>
    </row>
    <row r="120" spans="1:9" x14ac:dyDescent="0.25">
      <c r="A120" s="11" t="s">
        <v>329</v>
      </c>
      <c r="B120" s="11"/>
      <c r="C120" s="9">
        <v>5</v>
      </c>
      <c r="D120" s="612">
        <f>I48+I54+I58+I65+I85</f>
        <v>153937.53</v>
      </c>
      <c r="E120" s="17"/>
      <c r="G120" s="11"/>
      <c r="H120" s="11"/>
      <c r="I120" s="11"/>
    </row>
    <row r="121" spans="1:9" x14ac:dyDescent="0.25">
      <c r="A121" s="11" t="s">
        <v>327</v>
      </c>
      <c r="B121" s="11"/>
      <c r="C121" s="9">
        <v>10</v>
      </c>
      <c r="D121" s="664">
        <f>I11+I15+109620+43200+I17+I18+I19+I34+I38+I56</f>
        <v>960412.19</v>
      </c>
      <c r="E121" s="17"/>
      <c r="G121" s="11"/>
      <c r="H121" s="11"/>
      <c r="I121" s="11"/>
    </row>
    <row r="122" spans="1:9" x14ac:dyDescent="0.25">
      <c r="A122" s="11" t="s">
        <v>589</v>
      </c>
      <c r="B122" s="11"/>
      <c r="C122" s="9">
        <v>2</v>
      </c>
      <c r="D122" s="612">
        <f>26030.4+11610.18+I46+I94</f>
        <v>46540.58</v>
      </c>
      <c r="E122" s="17"/>
      <c r="G122" s="11"/>
      <c r="H122" s="11"/>
      <c r="I122" s="11"/>
    </row>
    <row r="123" spans="1:9" x14ac:dyDescent="0.25">
      <c r="A123" s="11" t="s">
        <v>951</v>
      </c>
      <c r="B123" s="11"/>
      <c r="C123" s="9">
        <v>1</v>
      </c>
      <c r="D123" s="612">
        <f>I97</f>
        <v>14815.01</v>
      </c>
      <c r="E123" s="17"/>
      <c r="G123" s="11"/>
      <c r="H123" s="11"/>
      <c r="I123" s="11"/>
    </row>
    <row r="124" spans="1:9" x14ac:dyDescent="0.25">
      <c r="A124" s="11" t="s">
        <v>667</v>
      </c>
      <c r="B124" s="11"/>
      <c r="C124" s="9">
        <v>1</v>
      </c>
      <c r="D124" s="612">
        <f>I51</f>
        <v>73677.63</v>
      </c>
      <c r="E124" s="17"/>
      <c r="G124" s="11"/>
      <c r="H124" s="11"/>
      <c r="I124" s="11"/>
    </row>
    <row r="125" spans="1:9" x14ac:dyDescent="0.25">
      <c r="A125" s="11" t="s">
        <v>936</v>
      </c>
      <c r="B125" s="11"/>
      <c r="C125" s="9">
        <v>2</v>
      </c>
      <c r="D125" s="612">
        <f>I80+I91</f>
        <v>20634.96</v>
      </c>
      <c r="E125" s="17"/>
      <c r="G125" s="11"/>
      <c r="H125" s="11"/>
      <c r="I125" s="11"/>
    </row>
    <row r="126" spans="1:9" x14ac:dyDescent="0.25">
      <c r="A126" s="11" t="s">
        <v>675</v>
      </c>
      <c r="B126" s="11"/>
      <c r="C126" s="9">
        <v>2</v>
      </c>
      <c r="D126" s="612">
        <f>I69+I84</f>
        <v>86802.67</v>
      </c>
      <c r="E126" s="17"/>
      <c r="G126" s="11"/>
      <c r="H126" s="11"/>
      <c r="I126" s="11"/>
    </row>
    <row r="127" spans="1:9" x14ac:dyDescent="0.25">
      <c r="A127" s="11" t="s">
        <v>712</v>
      </c>
      <c r="B127" s="11"/>
      <c r="C127" s="9">
        <v>2</v>
      </c>
      <c r="D127" s="613">
        <f>I63+I72</f>
        <v>106773.11</v>
      </c>
      <c r="E127" s="17"/>
      <c r="G127" s="11"/>
      <c r="H127" s="11"/>
      <c r="I127" s="11"/>
    </row>
    <row r="128" spans="1:9" x14ac:dyDescent="0.25">
      <c r="A128" s="11" t="s">
        <v>748</v>
      </c>
      <c r="B128" s="11"/>
      <c r="C128" s="9">
        <v>1</v>
      </c>
      <c r="D128" s="613">
        <f>I9</f>
        <v>140560</v>
      </c>
      <c r="E128" s="17"/>
      <c r="G128" s="11"/>
      <c r="H128" s="11"/>
      <c r="I128" s="11"/>
    </row>
    <row r="129" spans="1:9" x14ac:dyDescent="0.25">
      <c r="A129" s="558" t="s">
        <v>691</v>
      </c>
      <c r="B129" s="558"/>
      <c r="C129" s="219">
        <f>SUM(C104:C128)</f>
        <v>89</v>
      </c>
      <c r="D129" s="612">
        <f>SUM(D104:D128)</f>
        <v>7224685.2700000005</v>
      </c>
      <c r="E129" s="17"/>
      <c r="F129" s="545">
        <f xml:space="preserve"> I99-D129</f>
        <v>0</v>
      </c>
      <c r="G129" s="614" t="s">
        <v>268</v>
      </c>
      <c r="H129" s="11">
        <f>H104+H105+H106</f>
        <v>89</v>
      </c>
      <c r="I129" s="615">
        <f>I104+I105+I106</f>
        <v>7224685.2700000014</v>
      </c>
    </row>
    <row r="130" spans="1:9" x14ac:dyDescent="0.25">
      <c r="E130" s="17"/>
    </row>
    <row r="131" spans="1:9" x14ac:dyDescent="0.25">
      <c r="E131" s="17"/>
    </row>
    <row r="132" spans="1:9" x14ac:dyDescent="0.25">
      <c r="A132" t="s">
        <v>269</v>
      </c>
      <c r="E132" s="17"/>
    </row>
    <row r="133" spans="1:9" x14ac:dyDescent="0.25">
      <c r="E133" s="17"/>
    </row>
    <row r="134" spans="1:9" x14ac:dyDescent="0.25">
      <c r="A134" t="s">
        <v>727</v>
      </c>
      <c r="E134" s="17"/>
      <c r="G134" t="s">
        <v>728</v>
      </c>
    </row>
    <row r="135" spans="1:9" x14ac:dyDescent="0.25">
      <c r="A135" t="s">
        <v>692</v>
      </c>
      <c r="E135" s="17"/>
    </row>
    <row r="136" spans="1:9" x14ac:dyDescent="0.25">
      <c r="E136" s="17"/>
    </row>
    <row r="137" spans="1:9" x14ac:dyDescent="0.25">
      <c r="A137" t="s">
        <v>350</v>
      </c>
      <c r="E137" s="17"/>
    </row>
    <row r="138" spans="1:9" x14ac:dyDescent="0.25">
      <c r="A138" t="s">
        <v>693</v>
      </c>
      <c r="E138" s="17"/>
    </row>
    <row r="139" spans="1:9" x14ac:dyDescent="0.25">
      <c r="E139" s="17"/>
    </row>
    <row r="140" spans="1:9" x14ac:dyDescent="0.25">
      <c r="A140" s="253" t="s">
        <v>694</v>
      </c>
      <c r="B140" s="253"/>
      <c r="C140" s="253"/>
      <c r="D140" s="253"/>
      <c r="E140" s="17"/>
    </row>
    <row r="141" spans="1:9" x14ac:dyDescent="0.25">
      <c r="A141" s="253" t="s">
        <v>695</v>
      </c>
      <c r="B141" s="208"/>
      <c r="C141" s="253"/>
      <c r="D141" s="253"/>
      <c r="E141" s="17"/>
    </row>
    <row r="397" spans="7:7" x14ac:dyDescent="0.25">
      <c r="G397">
        <f>G393+G394+GGG396</f>
        <v>0</v>
      </c>
    </row>
  </sheetData>
  <mergeCells count="5">
    <mergeCell ref="G99:H99"/>
    <mergeCell ref="A3:I3"/>
    <mergeCell ref="A4:I4"/>
    <mergeCell ref="A5:I5"/>
    <mergeCell ref="A6:I6"/>
  </mergeCells>
  <pageMargins left="0.7" right="0.7" top="0.75" bottom="0.75" header="0.3" footer="0.3"/>
  <pageSetup scale="60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890"/>
  <sheetViews>
    <sheetView zoomScale="130" zoomScaleNormal="130" workbookViewId="0">
      <selection activeCell="A3" sqref="A3:Y3"/>
    </sheetView>
  </sheetViews>
  <sheetFormatPr baseColWidth="10" defaultRowHeight="15" x14ac:dyDescent="0.25"/>
  <cols>
    <col min="1" max="1" width="6.140625" customWidth="1"/>
    <col min="2" max="2" width="26.5703125" customWidth="1"/>
    <col min="3" max="3" width="25.7109375" hidden="1" customWidth="1"/>
    <col min="4" max="4" width="5.5703125" hidden="1" customWidth="1"/>
    <col min="5" max="5" width="13.140625" customWidth="1"/>
    <col min="6" max="6" width="12.42578125" customWidth="1"/>
    <col min="7" max="7" width="13.7109375" customWidth="1"/>
    <col min="8" max="10" width="11.85546875" customWidth="1"/>
    <col min="11" max="11" width="13.42578125" customWidth="1"/>
    <col min="12" max="12" width="10.5703125" customWidth="1"/>
    <col min="13" max="13" width="12.140625" customWidth="1"/>
    <col min="14" max="14" width="13.28515625" customWidth="1"/>
    <col min="15" max="15" width="14.28515625" hidden="1" customWidth="1"/>
    <col min="16" max="16" width="0.140625" hidden="1" customWidth="1"/>
    <col min="17" max="17" width="0.28515625" hidden="1" customWidth="1"/>
    <col min="18" max="18" width="14.42578125" bestFit="1" customWidth="1"/>
    <col min="19" max="19" width="15.7109375" hidden="1" customWidth="1"/>
    <col min="20" max="20" width="14.5703125" customWidth="1"/>
    <col min="21" max="21" width="16.28515625" hidden="1" customWidth="1"/>
    <col min="22" max="22" width="14.85546875" hidden="1" customWidth="1"/>
    <col min="23" max="23" width="16" hidden="1" customWidth="1"/>
    <col min="24" max="24" width="15.140625" hidden="1" customWidth="1"/>
    <col min="25" max="25" width="15.140625" customWidth="1"/>
    <col min="26" max="26" width="12.7109375" bestFit="1" customWidth="1"/>
    <col min="27" max="27" width="16.28515625" bestFit="1" customWidth="1"/>
  </cols>
  <sheetData>
    <row r="1" spans="1:25" ht="15.75" customHeight="1" x14ac:dyDescent="0.3">
      <c r="A1" s="792" t="s">
        <v>37</v>
      </c>
      <c r="B1" s="792"/>
      <c r="C1" s="792"/>
      <c r="D1" s="792"/>
      <c r="E1" s="792"/>
      <c r="F1" s="792"/>
      <c r="G1" s="792"/>
      <c r="H1" s="792"/>
      <c r="I1" s="792"/>
      <c r="J1" s="792"/>
      <c r="K1" s="792"/>
      <c r="L1" s="792"/>
      <c r="M1" s="792"/>
      <c r="N1" s="792"/>
      <c r="O1" s="792"/>
      <c r="P1" s="792"/>
      <c r="Q1" s="792"/>
      <c r="R1" s="792"/>
      <c r="S1" s="792"/>
      <c r="T1" s="792"/>
      <c r="U1" s="792"/>
      <c r="V1" s="792"/>
      <c r="W1" s="792"/>
      <c r="X1" s="792"/>
      <c r="Y1" s="792"/>
    </row>
    <row r="2" spans="1:25" ht="15.75" customHeight="1" x14ac:dyDescent="0.25">
      <c r="A2" s="813" t="s">
        <v>39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  <c r="X2" s="813"/>
      <c r="Y2" s="813"/>
    </row>
    <row r="3" spans="1:25" ht="15.75" customHeight="1" x14ac:dyDescent="0.25">
      <c r="A3" s="813" t="s">
        <v>594</v>
      </c>
      <c r="B3" s="813"/>
      <c r="C3" s="813"/>
      <c r="D3" s="813"/>
      <c r="E3" s="813"/>
      <c r="F3" s="813"/>
      <c r="G3" s="813"/>
      <c r="H3" s="813"/>
      <c r="I3" s="813"/>
      <c r="J3" s="813"/>
      <c r="K3" s="813"/>
      <c r="L3" s="813"/>
      <c r="M3" s="813"/>
      <c r="N3" s="813"/>
      <c r="O3" s="813"/>
      <c r="P3" s="813"/>
      <c r="Q3" s="813"/>
      <c r="R3" s="813"/>
      <c r="S3" s="813"/>
      <c r="T3" s="813"/>
      <c r="U3" s="813"/>
      <c r="V3" s="813"/>
      <c r="W3" s="813"/>
      <c r="X3" s="813"/>
      <c r="Y3" s="813"/>
    </row>
    <row r="4" spans="1:25" x14ac:dyDescent="0.25">
      <c r="A4" s="233"/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</row>
    <row r="5" spans="1:25" ht="15.75" x14ac:dyDescent="0.25">
      <c r="A5" s="797" t="s">
        <v>274</v>
      </c>
      <c r="B5" s="797"/>
      <c r="C5" s="797"/>
      <c r="D5" s="797"/>
      <c r="E5" s="797"/>
      <c r="F5" s="797"/>
      <c r="G5" s="797"/>
      <c r="H5" s="233"/>
      <c r="I5" s="233"/>
      <c r="J5" s="233"/>
      <c r="K5" s="233"/>
      <c r="L5" s="233"/>
      <c r="M5" s="233" t="s">
        <v>645</v>
      </c>
      <c r="N5" s="233" t="s">
        <v>669</v>
      </c>
      <c r="O5" s="233" t="s">
        <v>541</v>
      </c>
      <c r="P5" s="233" t="s">
        <v>61</v>
      </c>
      <c r="Q5" s="233" t="s">
        <v>646</v>
      </c>
      <c r="R5" s="233" t="s">
        <v>65</v>
      </c>
      <c r="S5" s="233"/>
      <c r="T5" s="233"/>
      <c r="U5" s="233"/>
      <c r="V5" s="233"/>
      <c r="W5" s="233"/>
      <c r="X5" s="233"/>
      <c r="Y5" s="233"/>
    </row>
    <row r="6" spans="1:25" ht="15.75" thickBot="1" x14ac:dyDescent="0.3">
      <c r="A6" s="233"/>
      <c r="B6" s="233"/>
      <c r="C6" s="233"/>
      <c r="D6" s="233"/>
      <c r="E6" s="233"/>
      <c r="F6" s="233"/>
      <c r="G6" s="233"/>
      <c r="H6" s="233"/>
      <c r="I6" s="233"/>
      <c r="J6" s="233"/>
      <c r="K6" s="233"/>
      <c r="L6" s="233"/>
      <c r="M6" s="233"/>
      <c r="N6" s="233"/>
      <c r="O6" s="233"/>
      <c r="P6" s="233"/>
      <c r="Q6" s="233"/>
      <c r="R6" s="233"/>
      <c r="S6" s="233"/>
      <c r="T6" s="233"/>
      <c r="U6" s="233"/>
      <c r="V6" s="233"/>
      <c r="W6" s="233"/>
      <c r="X6" s="233"/>
      <c r="Y6" s="233"/>
    </row>
    <row r="7" spans="1:25" ht="28.5" customHeight="1" thickBot="1" x14ac:dyDescent="0.3">
      <c r="A7" s="561" t="s">
        <v>38</v>
      </c>
      <c r="B7" s="570" t="s">
        <v>40</v>
      </c>
      <c r="C7" s="562" t="s">
        <v>238</v>
      </c>
      <c r="D7" s="562" t="s">
        <v>41</v>
      </c>
      <c r="E7" s="593" t="s">
        <v>647</v>
      </c>
      <c r="F7" s="562" t="s">
        <v>632</v>
      </c>
      <c r="G7" s="562" t="s">
        <v>633</v>
      </c>
      <c r="H7" s="562" t="s">
        <v>634</v>
      </c>
      <c r="I7" s="562" t="s">
        <v>635</v>
      </c>
      <c r="J7" s="562" t="s">
        <v>636</v>
      </c>
      <c r="K7" s="562" t="s">
        <v>637</v>
      </c>
      <c r="L7" s="562" t="s">
        <v>257</v>
      </c>
      <c r="M7" s="562" t="s">
        <v>366</v>
      </c>
      <c r="N7" s="562" t="s">
        <v>590</v>
      </c>
      <c r="O7" s="562" t="s">
        <v>591</v>
      </c>
      <c r="P7" s="562" t="s">
        <v>630</v>
      </c>
      <c r="Q7" s="562" t="s">
        <v>631</v>
      </c>
      <c r="R7" s="562" t="s">
        <v>729</v>
      </c>
      <c r="S7" s="562" t="s">
        <v>370</v>
      </c>
      <c r="T7" s="562" t="s">
        <v>954</v>
      </c>
      <c r="U7" s="562" t="s">
        <v>371</v>
      </c>
      <c r="V7" s="562" t="s">
        <v>372</v>
      </c>
      <c r="W7" s="562" t="s">
        <v>373</v>
      </c>
      <c r="X7" s="562" t="s">
        <v>374</v>
      </c>
      <c r="Y7" s="563" t="s">
        <v>42</v>
      </c>
    </row>
    <row r="8" spans="1:25" x14ac:dyDescent="0.25">
      <c r="A8" s="637" t="s">
        <v>547</v>
      </c>
      <c r="B8" s="567" t="s">
        <v>276</v>
      </c>
      <c r="C8" s="203" t="s">
        <v>277</v>
      </c>
      <c r="D8" s="219" t="s">
        <v>326</v>
      </c>
      <c r="E8" s="220">
        <v>0</v>
      </c>
      <c r="F8" s="220">
        <v>0</v>
      </c>
      <c r="G8" s="220">
        <v>0</v>
      </c>
      <c r="H8" s="564">
        <v>0</v>
      </c>
      <c r="I8" s="564">
        <v>0</v>
      </c>
      <c r="J8" s="564">
        <v>0</v>
      </c>
      <c r="K8" s="220">
        <v>2300</v>
      </c>
      <c r="L8" s="564">
        <v>0</v>
      </c>
      <c r="M8" s="564">
        <v>0</v>
      </c>
      <c r="N8" s="564">
        <v>0</v>
      </c>
      <c r="O8" s="565">
        <f t="shared" ref="O8:O9" si="0">203107.36+30977.46+202834.96+27210.31-464130.09</f>
        <v>0</v>
      </c>
      <c r="P8" s="566">
        <v>0</v>
      </c>
      <c r="Q8" s="222">
        <v>0</v>
      </c>
      <c r="R8" s="222">
        <v>0</v>
      </c>
      <c r="S8" s="222">
        <v>0</v>
      </c>
      <c r="T8" s="222">
        <v>0</v>
      </c>
      <c r="U8" s="224">
        <v>0</v>
      </c>
      <c r="V8" s="222">
        <v>0</v>
      </c>
      <c r="W8" s="222">
        <v>0</v>
      </c>
      <c r="X8" s="224">
        <v>0</v>
      </c>
      <c r="Y8" s="511">
        <f t="shared" ref="Y8:Y18" si="1">SUM(E8:X8)</f>
        <v>2300</v>
      </c>
    </row>
    <row r="9" spans="1:25" x14ac:dyDescent="0.25">
      <c r="A9" s="637" t="s">
        <v>354</v>
      </c>
      <c r="B9" s="227" t="s">
        <v>955</v>
      </c>
      <c r="C9" s="203" t="s">
        <v>956</v>
      </c>
      <c r="D9" s="219" t="s">
        <v>326</v>
      </c>
      <c r="E9" s="225">
        <v>0</v>
      </c>
      <c r="F9" s="225">
        <v>0</v>
      </c>
      <c r="G9" s="225">
        <v>0</v>
      </c>
      <c r="H9" s="564">
        <v>0</v>
      </c>
      <c r="I9" s="564">
        <v>0</v>
      </c>
      <c r="J9" s="564">
        <v>0</v>
      </c>
      <c r="K9" s="225">
        <v>0</v>
      </c>
      <c r="L9" s="564">
        <v>0</v>
      </c>
      <c r="M9" s="564">
        <v>0</v>
      </c>
      <c r="N9" s="564">
        <v>0</v>
      </c>
      <c r="O9" s="565">
        <f t="shared" si="0"/>
        <v>0</v>
      </c>
      <c r="P9" s="566">
        <v>0</v>
      </c>
      <c r="Q9" s="224">
        <v>0</v>
      </c>
      <c r="R9" s="222"/>
      <c r="S9" s="224">
        <v>0</v>
      </c>
      <c r="T9" s="224">
        <f>15623+24780</f>
        <v>40403</v>
      </c>
      <c r="U9" s="224">
        <v>0</v>
      </c>
      <c r="V9" s="222">
        <v>0</v>
      </c>
      <c r="W9" s="224"/>
      <c r="X9" s="224">
        <v>0</v>
      </c>
      <c r="Y9" s="511">
        <f t="shared" si="1"/>
        <v>40403</v>
      </c>
    </row>
    <row r="10" spans="1:25" x14ac:dyDescent="0.25">
      <c r="A10" s="637" t="s">
        <v>548</v>
      </c>
      <c r="B10" s="227" t="s">
        <v>278</v>
      </c>
      <c r="C10" s="203"/>
      <c r="D10" s="219"/>
      <c r="E10" s="225"/>
      <c r="F10" s="225"/>
      <c r="G10" s="225"/>
      <c r="H10" s="564"/>
      <c r="I10" s="564"/>
      <c r="J10" s="564"/>
      <c r="K10" s="225"/>
      <c r="L10" s="564"/>
      <c r="M10" s="564"/>
      <c r="N10" s="564"/>
      <c r="O10" s="565"/>
      <c r="P10" s="566"/>
      <c r="Q10" s="224"/>
      <c r="R10" s="222">
        <f>3675+4300</f>
        <v>7975</v>
      </c>
      <c r="S10" s="224"/>
      <c r="T10" s="224">
        <f>3450+3495+4665+4050+1200</f>
        <v>16860</v>
      </c>
      <c r="U10" s="224"/>
      <c r="V10" s="222"/>
      <c r="W10" s="224"/>
      <c r="X10" s="224"/>
      <c r="Y10" s="511">
        <f t="shared" si="1"/>
        <v>24835</v>
      </c>
    </row>
    <row r="11" spans="1:25" x14ac:dyDescent="0.25">
      <c r="A11" s="637" t="s">
        <v>549</v>
      </c>
      <c r="B11" s="227" t="s">
        <v>957</v>
      </c>
      <c r="C11" s="203"/>
      <c r="D11" s="219"/>
      <c r="E11" s="225"/>
      <c r="F11" s="225"/>
      <c r="G11" s="225"/>
      <c r="H11" s="564"/>
      <c r="I11" s="564"/>
      <c r="J11" s="564"/>
      <c r="K11" s="225"/>
      <c r="L11" s="564"/>
      <c r="M11" s="564"/>
      <c r="N11" s="564"/>
      <c r="O11" s="565"/>
      <c r="P11" s="566"/>
      <c r="Q11" s="224"/>
      <c r="R11" s="224"/>
      <c r="S11" s="224"/>
      <c r="T11" s="224">
        <v>14900</v>
      </c>
      <c r="U11" s="224"/>
      <c r="V11" s="222"/>
      <c r="W11" s="224"/>
      <c r="X11" s="224"/>
      <c r="Y11" s="511">
        <f t="shared" si="1"/>
        <v>14900</v>
      </c>
    </row>
    <row r="12" spans="1:25" x14ac:dyDescent="0.25">
      <c r="A12" s="637" t="s">
        <v>355</v>
      </c>
      <c r="B12" s="227" t="s">
        <v>648</v>
      </c>
      <c r="C12" s="203"/>
      <c r="D12" s="219"/>
      <c r="E12" s="225"/>
      <c r="F12" s="225"/>
      <c r="G12" s="225"/>
      <c r="H12" s="564"/>
      <c r="I12" s="564"/>
      <c r="J12" s="564"/>
      <c r="K12" s="225"/>
      <c r="L12" s="564"/>
      <c r="M12" s="564"/>
      <c r="N12" s="564"/>
      <c r="O12" s="565"/>
      <c r="P12" s="566"/>
      <c r="Q12" s="224">
        <v>0</v>
      </c>
      <c r="R12" s="224">
        <f>4010+37458.65-41468.65</f>
        <v>0</v>
      </c>
      <c r="S12" s="224"/>
      <c r="T12" s="224">
        <f>73677.63+14815.01</f>
        <v>88492.64</v>
      </c>
      <c r="U12" s="224"/>
      <c r="V12" s="222"/>
      <c r="W12" s="224"/>
      <c r="X12" s="224"/>
      <c r="Y12" s="511">
        <f t="shared" si="1"/>
        <v>88492.64</v>
      </c>
    </row>
    <row r="13" spans="1:25" x14ac:dyDescent="0.25">
      <c r="A13" s="637" t="s">
        <v>356</v>
      </c>
      <c r="B13" s="673" t="s">
        <v>619</v>
      </c>
      <c r="C13" s="203"/>
      <c r="D13" s="219"/>
      <c r="E13" s="220"/>
      <c r="F13" s="220"/>
      <c r="G13" s="220"/>
      <c r="H13" s="564"/>
      <c r="I13" s="564"/>
      <c r="J13" s="564"/>
      <c r="K13" s="225"/>
      <c r="L13" s="564"/>
      <c r="M13" s="564"/>
      <c r="N13" s="564"/>
      <c r="O13" s="565"/>
      <c r="P13" s="566"/>
      <c r="Q13" s="222"/>
      <c r="R13" s="222">
        <f>139925.5-139925.5</f>
        <v>0</v>
      </c>
      <c r="S13" s="222"/>
      <c r="T13" s="222">
        <f>238261.4-13500.5+13500.5+21073-238261.4</f>
        <v>21073</v>
      </c>
      <c r="U13" s="224"/>
      <c r="V13" s="222"/>
      <c r="W13" s="224"/>
      <c r="X13" s="224"/>
      <c r="Y13" s="511">
        <f t="shared" si="1"/>
        <v>21073</v>
      </c>
    </row>
    <row r="14" spans="1:25" x14ac:dyDescent="0.25">
      <c r="A14" s="637" t="s">
        <v>357</v>
      </c>
      <c r="B14" s="223" t="s">
        <v>898</v>
      </c>
      <c r="C14" s="203"/>
      <c r="D14" s="219"/>
      <c r="E14" s="225"/>
      <c r="F14" s="225"/>
      <c r="G14" s="225"/>
      <c r="H14" s="564"/>
      <c r="I14" s="564"/>
      <c r="J14" s="564"/>
      <c r="K14" s="225"/>
      <c r="L14" s="564"/>
      <c r="M14" s="564"/>
      <c r="N14" s="564"/>
      <c r="O14" s="264"/>
      <c r="P14" s="674"/>
      <c r="Q14" s="222"/>
      <c r="R14" s="222"/>
      <c r="S14" s="224"/>
      <c r="T14" s="224">
        <f>26066.2</f>
        <v>26066.2</v>
      </c>
      <c r="U14" s="224"/>
      <c r="V14" s="224"/>
      <c r="W14" s="224"/>
      <c r="X14" s="224"/>
      <c r="Y14" s="511">
        <f t="shared" si="1"/>
        <v>26066.2</v>
      </c>
    </row>
    <row r="15" spans="1:25" x14ac:dyDescent="0.25">
      <c r="A15" s="637" t="s">
        <v>358</v>
      </c>
      <c r="B15" s="223" t="s">
        <v>283</v>
      </c>
      <c r="C15" s="203" t="s">
        <v>284</v>
      </c>
      <c r="D15" s="219" t="s">
        <v>326</v>
      </c>
      <c r="E15" s="225">
        <v>0</v>
      </c>
      <c r="F15" s="225">
        <v>0</v>
      </c>
      <c r="G15" s="225">
        <v>0</v>
      </c>
      <c r="H15" s="564">
        <v>0</v>
      </c>
      <c r="I15" s="564">
        <v>0</v>
      </c>
      <c r="J15" s="564">
        <v>0</v>
      </c>
      <c r="K15" s="225">
        <v>62121.25</v>
      </c>
      <c r="L15" s="564">
        <v>0</v>
      </c>
      <c r="M15" s="564">
        <v>0</v>
      </c>
      <c r="N15" s="564">
        <v>0</v>
      </c>
      <c r="O15" s="264">
        <v>0</v>
      </c>
      <c r="P15" s="221">
        <v>0</v>
      </c>
      <c r="Q15" s="222">
        <v>0</v>
      </c>
      <c r="R15" s="222">
        <v>0</v>
      </c>
      <c r="S15" s="222">
        <v>0</v>
      </c>
      <c r="T15" s="224">
        <v>0</v>
      </c>
      <c r="U15" s="224">
        <v>0</v>
      </c>
      <c r="V15" s="222">
        <v>0</v>
      </c>
      <c r="W15" s="224">
        <v>0</v>
      </c>
      <c r="X15" s="224">
        <v>0</v>
      </c>
      <c r="Y15" s="511">
        <f t="shared" si="1"/>
        <v>62121.25</v>
      </c>
    </row>
    <row r="16" spans="1:25" x14ac:dyDescent="0.25">
      <c r="A16" s="637" t="s">
        <v>550</v>
      </c>
      <c r="B16" s="226" t="s">
        <v>285</v>
      </c>
      <c r="C16" s="228" t="s">
        <v>286</v>
      </c>
      <c r="D16" s="234" t="s">
        <v>326</v>
      </c>
      <c r="E16" s="220">
        <v>0</v>
      </c>
      <c r="F16" s="220">
        <v>0</v>
      </c>
      <c r="G16" s="225">
        <v>0</v>
      </c>
      <c r="H16" s="564">
        <v>0</v>
      </c>
      <c r="I16" s="564">
        <v>0</v>
      </c>
      <c r="J16" s="564">
        <v>0</v>
      </c>
      <c r="K16" s="220">
        <v>0</v>
      </c>
      <c r="L16" s="564">
        <v>0</v>
      </c>
      <c r="M16" s="564">
        <v>0</v>
      </c>
      <c r="N16" s="564">
        <v>0</v>
      </c>
      <c r="O16" s="264">
        <v>0</v>
      </c>
      <c r="P16" s="221">
        <v>0</v>
      </c>
      <c r="Q16" s="224">
        <f>502275-502275</f>
        <v>0</v>
      </c>
      <c r="R16" s="224">
        <f>820580-820580</f>
        <v>0</v>
      </c>
      <c r="S16" s="224">
        <f>286046+28503-314549</f>
        <v>0</v>
      </c>
      <c r="T16" s="224">
        <f>707940-2800</f>
        <v>705140</v>
      </c>
      <c r="U16" s="224">
        <f>438851-438851</f>
        <v>0</v>
      </c>
      <c r="V16" s="224">
        <v>0</v>
      </c>
      <c r="W16" s="224">
        <f>340729-340729</f>
        <v>0</v>
      </c>
      <c r="X16" s="616">
        <v>0</v>
      </c>
      <c r="Y16" s="510">
        <f t="shared" si="1"/>
        <v>705140</v>
      </c>
    </row>
    <row r="17" spans="1:25" x14ac:dyDescent="0.25">
      <c r="A17" s="637" t="s">
        <v>359</v>
      </c>
      <c r="B17" s="223" t="s">
        <v>287</v>
      </c>
      <c r="C17" s="203" t="s">
        <v>279</v>
      </c>
      <c r="D17" s="219" t="s">
        <v>326</v>
      </c>
      <c r="E17" s="220">
        <v>0</v>
      </c>
      <c r="F17" s="220">
        <v>0</v>
      </c>
      <c r="G17" s="225">
        <v>0</v>
      </c>
      <c r="H17" s="564">
        <v>0</v>
      </c>
      <c r="I17" s="220">
        <f>7954</f>
        <v>7954</v>
      </c>
      <c r="J17" s="220">
        <v>1280</v>
      </c>
      <c r="K17" s="220">
        <v>0</v>
      </c>
      <c r="L17" s="564">
        <v>0</v>
      </c>
      <c r="M17" s="564">
        <v>0</v>
      </c>
      <c r="N17" s="564">
        <v>0</v>
      </c>
      <c r="O17" s="264">
        <v>0</v>
      </c>
      <c r="P17" s="221">
        <v>0</v>
      </c>
      <c r="Q17" s="222">
        <v>0</v>
      </c>
      <c r="R17" s="224">
        <v>0</v>
      </c>
      <c r="S17" s="222">
        <v>0</v>
      </c>
      <c r="T17" s="222">
        <v>0</v>
      </c>
      <c r="U17" s="224">
        <v>0</v>
      </c>
      <c r="V17" s="222">
        <v>0</v>
      </c>
      <c r="W17" s="224">
        <v>0</v>
      </c>
      <c r="X17" s="224">
        <v>0</v>
      </c>
      <c r="Y17" s="511">
        <f t="shared" si="1"/>
        <v>9234</v>
      </c>
    </row>
    <row r="18" spans="1:25" x14ac:dyDescent="0.25">
      <c r="A18" s="637" t="s">
        <v>551</v>
      </c>
      <c r="B18" s="227" t="s">
        <v>288</v>
      </c>
      <c r="C18" s="203" t="s">
        <v>289</v>
      </c>
      <c r="D18" s="219" t="s">
        <v>326</v>
      </c>
      <c r="E18" s="220">
        <v>8000</v>
      </c>
      <c r="F18" s="220">
        <v>0</v>
      </c>
      <c r="G18" s="225">
        <v>0</v>
      </c>
      <c r="H18" s="564">
        <v>0</v>
      </c>
      <c r="I18" s="220">
        <v>0</v>
      </c>
      <c r="J18" s="220">
        <v>0</v>
      </c>
      <c r="K18" s="220">
        <v>0</v>
      </c>
      <c r="L18" s="564">
        <v>0</v>
      </c>
      <c r="M18" s="564">
        <v>0</v>
      </c>
      <c r="N18" s="564">
        <v>0</v>
      </c>
      <c r="O18" s="264">
        <v>0</v>
      </c>
      <c r="P18" s="221">
        <v>0</v>
      </c>
      <c r="Q18" s="222">
        <v>0</v>
      </c>
      <c r="R18" s="224">
        <v>0</v>
      </c>
      <c r="S18" s="222">
        <v>0</v>
      </c>
      <c r="T18" s="222">
        <v>0</v>
      </c>
      <c r="U18" s="224">
        <v>0</v>
      </c>
      <c r="V18" s="222">
        <v>0</v>
      </c>
      <c r="W18" s="224">
        <v>0</v>
      </c>
      <c r="X18" s="224">
        <v>0</v>
      </c>
      <c r="Y18" s="511">
        <f t="shared" si="1"/>
        <v>8000</v>
      </c>
    </row>
    <row r="19" spans="1:25" x14ac:dyDescent="0.25">
      <c r="A19" s="637" t="s">
        <v>552</v>
      </c>
      <c r="B19" s="227" t="s">
        <v>571</v>
      </c>
      <c r="C19" s="203" t="s">
        <v>572</v>
      </c>
      <c r="D19" s="219" t="s">
        <v>326</v>
      </c>
      <c r="E19" s="220">
        <v>0</v>
      </c>
      <c r="F19" s="220">
        <v>0</v>
      </c>
      <c r="G19" s="225">
        <v>0</v>
      </c>
      <c r="H19" s="564">
        <v>0</v>
      </c>
      <c r="I19" s="220">
        <v>0</v>
      </c>
      <c r="J19" s="220">
        <v>0</v>
      </c>
      <c r="K19" s="220">
        <v>0</v>
      </c>
      <c r="L19" s="564">
        <v>0</v>
      </c>
      <c r="M19" s="564">
        <v>0</v>
      </c>
      <c r="N19" s="224">
        <f>135582</f>
        <v>135582</v>
      </c>
      <c r="O19" s="264">
        <v>0</v>
      </c>
      <c r="P19" s="221">
        <v>0</v>
      </c>
      <c r="Q19" s="222">
        <v>0</v>
      </c>
      <c r="R19" s="224"/>
      <c r="S19" s="222"/>
      <c r="T19" s="222"/>
      <c r="U19" s="224"/>
      <c r="V19" s="222"/>
      <c r="W19" s="224">
        <f>135582</f>
        <v>135582</v>
      </c>
      <c r="X19" s="224"/>
      <c r="Y19" s="511">
        <f>135582</f>
        <v>135582</v>
      </c>
    </row>
    <row r="20" spans="1:25" x14ac:dyDescent="0.25">
      <c r="A20" s="637" t="s">
        <v>553</v>
      </c>
      <c r="B20" s="229" t="s">
        <v>290</v>
      </c>
      <c r="C20" s="203" t="s">
        <v>282</v>
      </c>
      <c r="D20" s="219" t="s">
        <v>326</v>
      </c>
      <c r="E20" s="220">
        <v>0</v>
      </c>
      <c r="F20" s="220">
        <v>4720</v>
      </c>
      <c r="G20" s="220">
        <v>32568</v>
      </c>
      <c r="H20" s="220">
        <v>6372</v>
      </c>
      <c r="I20" s="220">
        <v>0</v>
      </c>
      <c r="J20" s="220">
        <v>0</v>
      </c>
      <c r="K20" s="220">
        <v>0</v>
      </c>
      <c r="L20" s="564">
        <v>0</v>
      </c>
      <c r="M20" s="564">
        <v>0</v>
      </c>
      <c r="N20" s="224">
        <v>0</v>
      </c>
      <c r="O20" s="264">
        <v>0</v>
      </c>
      <c r="P20" s="221">
        <v>0</v>
      </c>
      <c r="Q20" s="222">
        <v>0</v>
      </c>
      <c r="R20" s="224">
        <v>0</v>
      </c>
      <c r="S20" s="222">
        <v>0</v>
      </c>
      <c r="T20" s="222">
        <v>0</v>
      </c>
      <c r="U20" s="224">
        <v>0</v>
      </c>
      <c r="V20" s="222">
        <v>0</v>
      </c>
      <c r="W20" s="224">
        <v>0</v>
      </c>
      <c r="X20" s="224">
        <v>0</v>
      </c>
      <c r="Y20" s="511">
        <f t="shared" ref="Y20:Y30" si="2">SUM(E20:X20)</f>
        <v>43660</v>
      </c>
    </row>
    <row r="21" spans="1:25" x14ac:dyDescent="0.25">
      <c r="A21" s="637" t="s">
        <v>542</v>
      </c>
      <c r="B21" s="223" t="s">
        <v>346</v>
      </c>
      <c r="C21" s="203" t="s">
        <v>295</v>
      </c>
      <c r="D21" s="219" t="s">
        <v>326</v>
      </c>
      <c r="E21" s="220">
        <v>0</v>
      </c>
      <c r="F21" s="220">
        <v>0</v>
      </c>
      <c r="G21" s="220">
        <v>0</v>
      </c>
      <c r="H21" s="220">
        <v>0</v>
      </c>
      <c r="I21" s="220">
        <v>0</v>
      </c>
      <c r="J21" s="220">
        <v>0</v>
      </c>
      <c r="K21" s="220">
        <v>0</v>
      </c>
      <c r="L21" s="564">
        <v>0</v>
      </c>
      <c r="M21" s="472">
        <f>47790</f>
        <v>47790</v>
      </c>
      <c r="N21" s="224">
        <v>0</v>
      </c>
      <c r="O21" s="264">
        <v>0</v>
      </c>
      <c r="P21" s="221">
        <v>0</v>
      </c>
      <c r="Q21" s="222">
        <v>0</v>
      </c>
      <c r="R21" s="224"/>
      <c r="S21" s="222"/>
      <c r="T21" s="222"/>
      <c r="U21" s="224"/>
      <c r="V21" s="224"/>
      <c r="W21" s="224"/>
      <c r="X21" s="224"/>
      <c r="Y21" s="511">
        <f t="shared" si="2"/>
        <v>47790</v>
      </c>
    </row>
    <row r="22" spans="1:25" x14ac:dyDescent="0.25">
      <c r="A22" s="637" t="s">
        <v>554</v>
      </c>
      <c r="B22" s="229" t="s">
        <v>292</v>
      </c>
      <c r="C22" s="203" t="s">
        <v>293</v>
      </c>
      <c r="D22" s="219" t="s">
        <v>326</v>
      </c>
      <c r="E22" s="220">
        <v>0</v>
      </c>
      <c r="F22" s="220">
        <v>0</v>
      </c>
      <c r="G22" s="220">
        <v>0</v>
      </c>
      <c r="H22" s="220">
        <v>0</v>
      </c>
      <c r="I22" s="220">
        <v>0</v>
      </c>
      <c r="J22" s="220">
        <v>0</v>
      </c>
      <c r="K22" s="220">
        <v>2366</v>
      </c>
      <c r="L22" s="564">
        <v>0</v>
      </c>
      <c r="M22" s="220">
        <v>0</v>
      </c>
      <c r="N22" s="224">
        <v>0</v>
      </c>
      <c r="O22" s="264">
        <v>0</v>
      </c>
      <c r="P22" s="221">
        <v>0</v>
      </c>
      <c r="Q22" s="222">
        <v>0</v>
      </c>
      <c r="R22" s="224">
        <v>0</v>
      </c>
      <c r="S22" s="222">
        <v>0</v>
      </c>
      <c r="T22" s="222">
        <v>0</v>
      </c>
      <c r="U22" s="224">
        <v>0</v>
      </c>
      <c r="V22" s="224">
        <v>0</v>
      </c>
      <c r="W22" s="224">
        <v>0</v>
      </c>
      <c r="X22" s="224">
        <v>0</v>
      </c>
      <c r="Y22" s="511">
        <f t="shared" si="2"/>
        <v>2366</v>
      </c>
    </row>
    <row r="23" spans="1:25" x14ac:dyDescent="0.25">
      <c r="A23" s="637" t="s">
        <v>555</v>
      </c>
      <c r="B23" s="229" t="s">
        <v>725</v>
      </c>
      <c r="C23" s="203"/>
      <c r="D23" s="219"/>
      <c r="E23" s="220"/>
      <c r="F23" s="220"/>
      <c r="G23" s="220"/>
      <c r="H23" s="220"/>
      <c r="I23" s="220"/>
      <c r="J23" s="220"/>
      <c r="K23" s="220"/>
      <c r="L23" s="564"/>
      <c r="M23" s="220"/>
      <c r="N23" s="224"/>
      <c r="O23" s="264"/>
      <c r="P23" s="221"/>
      <c r="Q23" s="222"/>
      <c r="R23" s="222">
        <v>0</v>
      </c>
      <c r="S23" s="222"/>
      <c r="T23" s="222">
        <f>7215+1282.11</f>
        <v>8497.11</v>
      </c>
      <c r="U23" s="224"/>
      <c r="V23" s="224"/>
      <c r="W23" s="224"/>
      <c r="X23" s="224"/>
      <c r="Y23" s="511">
        <f t="shared" si="2"/>
        <v>8497.11</v>
      </c>
    </row>
    <row r="24" spans="1:25" x14ac:dyDescent="0.25">
      <c r="A24" s="637" t="s">
        <v>556</v>
      </c>
      <c r="B24" s="229" t="s">
        <v>577</v>
      </c>
      <c r="C24" s="203" t="s">
        <v>579</v>
      </c>
      <c r="D24" s="219" t="s">
        <v>326</v>
      </c>
      <c r="E24" s="220">
        <v>0</v>
      </c>
      <c r="F24" s="220">
        <v>0</v>
      </c>
      <c r="G24" s="220">
        <v>0</v>
      </c>
      <c r="H24" s="220">
        <v>0</v>
      </c>
      <c r="I24" s="220">
        <v>0</v>
      </c>
      <c r="J24" s="220">
        <v>0</v>
      </c>
      <c r="K24" s="220">
        <v>0</v>
      </c>
      <c r="L24" s="564">
        <v>0</v>
      </c>
      <c r="M24" s="220">
        <v>0</v>
      </c>
      <c r="N24" s="224">
        <f>649547.52-324773.76</f>
        <v>324773.76000000001</v>
      </c>
      <c r="O24" s="264">
        <v>0</v>
      </c>
      <c r="P24" s="221">
        <v>0</v>
      </c>
      <c r="Q24" s="222">
        <v>0</v>
      </c>
      <c r="R24" s="222"/>
      <c r="S24" s="224"/>
      <c r="T24" s="224"/>
      <c r="U24" s="224"/>
      <c r="V24" s="224"/>
      <c r="W24" s="224"/>
      <c r="X24" s="224">
        <v>0</v>
      </c>
      <c r="Y24" s="511">
        <f t="shared" si="2"/>
        <v>324773.76000000001</v>
      </c>
    </row>
    <row r="25" spans="1:25" x14ac:dyDescent="0.25">
      <c r="A25" s="637" t="s">
        <v>557</v>
      </c>
      <c r="B25" s="229" t="s">
        <v>294</v>
      </c>
      <c r="C25" s="203" t="s">
        <v>295</v>
      </c>
      <c r="D25" s="219" t="s">
        <v>326</v>
      </c>
      <c r="E25" s="220">
        <v>0</v>
      </c>
      <c r="F25" s="220">
        <v>0</v>
      </c>
      <c r="G25" s="220">
        <v>0</v>
      </c>
      <c r="H25" s="220">
        <v>0</v>
      </c>
      <c r="I25" s="220">
        <v>0</v>
      </c>
      <c r="J25" s="220">
        <v>62627.09</v>
      </c>
      <c r="K25" s="220">
        <v>141092.6</v>
      </c>
      <c r="L25" s="564">
        <v>0</v>
      </c>
      <c r="M25" s="220">
        <v>0</v>
      </c>
      <c r="N25" s="224">
        <v>0</v>
      </c>
      <c r="O25" s="264">
        <v>0</v>
      </c>
      <c r="P25" s="221">
        <v>0</v>
      </c>
      <c r="Q25" s="222">
        <v>0</v>
      </c>
      <c r="R25" s="222">
        <v>0</v>
      </c>
      <c r="S25" s="222">
        <v>0</v>
      </c>
      <c r="T25" s="222">
        <v>0</v>
      </c>
      <c r="U25" s="224">
        <v>0</v>
      </c>
      <c r="V25" s="224">
        <v>0</v>
      </c>
      <c r="W25" s="224">
        <v>0</v>
      </c>
      <c r="X25" s="224">
        <v>0</v>
      </c>
      <c r="Y25" s="511">
        <f t="shared" si="2"/>
        <v>203719.69</v>
      </c>
    </row>
    <row r="26" spans="1:25" x14ac:dyDescent="0.25">
      <c r="A26" s="637" t="s">
        <v>558</v>
      </c>
      <c r="B26" s="229" t="s">
        <v>622</v>
      </c>
      <c r="C26" s="203" t="s">
        <v>279</v>
      </c>
      <c r="D26" s="219" t="s">
        <v>326</v>
      </c>
      <c r="E26" s="220">
        <v>0</v>
      </c>
      <c r="F26" s="220">
        <v>0</v>
      </c>
      <c r="G26" s="220">
        <v>0</v>
      </c>
      <c r="H26" s="220">
        <v>0</v>
      </c>
      <c r="I26" s="220">
        <v>0</v>
      </c>
      <c r="J26" s="220">
        <v>0</v>
      </c>
      <c r="K26" s="220">
        <v>0</v>
      </c>
      <c r="L26" s="564">
        <v>0</v>
      </c>
      <c r="M26" s="220">
        <v>0</v>
      </c>
      <c r="N26" s="224">
        <v>0</v>
      </c>
      <c r="O26" s="264">
        <v>0</v>
      </c>
      <c r="P26" s="221">
        <v>0</v>
      </c>
      <c r="Q26" s="222">
        <v>0</v>
      </c>
      <c r="R26" s="222">
        <f>68703.83+80395.46-149099.29</f>
        <v>0</v>
      </c>
      <c r="S26" s="222">
        <v>0</v>
      </c>
      <c r="T26" s="224">
        <f>77493.01+87839.2</f>
        <v>165332.21</v>
      </c>
      <c r="U26" s="224">
        <f>187231.8+16400-203631.8</f>
        <v>0</v>
      </c>
      <c r="V26" s="224">
        <f>32040+42904.8-74944.8</f>
        <v>0</v>
      </c>
      <c r="W26" s="224">
        <v>0</v>
      </c>
      <c r="X26" s="224">
        <f>70451+50216-120667</f>
        <v>0</v>
      </c>
      <c r="Y26" s="511">
        <f t="shared" si="2"/>
        <v>165332.21</v>
      </c>
    </row>
    <row r="27" spans="1:25" x14ac:dyDescent="0.25">
      <c r="A27" s="637" t="s">
        <v>559</v>
      </c>
      <c r="B27" s="229" t="s">
        <v>296</v>
      </c>
      <c r="C27" s="203" t="s">
        <v>281</v>
      </c>
      <c r="D27" s="219" t="s">
        <v>326</v>
      </c>
      <c r="E27" s="220">
        <v>118365.5</v>
      </c>
      <c r="F27" s="220">
        <v>0</v>
      </c>
      <c r="G27" s="220">
        <v>0</v>
      </c>
      <c r="H27" s="220">
        <v>0</v>
      </c>
      <c r="I27" s="220">
        <v>0</v>
      </c>
      <c r="J27" s="220">
        <v>0</v>
      </c>
      <c r="K27" s="220">
        <v>0</v>
      </c>
      <c r="L27" s="564">
        <v>0</v>
      </c>
      <c r="M27" s="220">
        <v>0</v>
      </c>
      <c r="N27" s="224">
        <v>0</v>
      </c>
      <c r="O27" s="264">
        <v>0</v>
      </c>
      <c r="P27" s="221">
        <v>0</v>
      </c>
      <c r="Q27" s="222">
        <v>0</v>
      </c>
      <c r="R27" s="222">
        <v>0</v>
      </c>
      <c r="S27" s="222">
        <v>0</v>
      </c>
      <c r="T27" s="222">
        <v>0</v>
      </c>
      <c r="U27" s="224">
        <v>0</v>
      </c>
      <c r="V27" s="224">
        <v>0</v>
      </c>
      <c r="W27" s="224">
        <v>0</v>
      </c>
      <c r="X27" s="224">
        <v>0</v>
      </c>
      <c r="Y27" s="511">
        <f t="shared" si="2"/>
        <v>118365.5</v>
      </c>
    </row>
    <row r="28" spans="1:25" x14ac:dyDescent="0.25">
      <c r="A28" s="637" t="s">
        <v>560</v>
      </c>
      <c r="B28" s="229" t="s">
        <v>297</v>
      </c>
      <c r="C28" s="203" t="s">
        <v>295</v>
      </c>
      <c r="D28" s="219" t="s">
        <v>326</v>
      </c>
      <c r="E28" s="220">
        <v>0</v>
      </c>
      <c r="F28" s="220">
        <f>48380</f>
        <v>48380</v>
      </c>
      <c r="G28" s="220">
        <f>188328</f>
        <v>188328</v>
      </c>
      <c r="H28" s="220">
        <v>0</v>
      </c>
      <c r="I28" s="220">
        <v>0</v>
      </c>
      <c r="J28" s="220">
        <v>0</v>
      </c>
      <c r="K28" s="220">
        <v>0</v>
      </c>
      <c r="L28" s="564">
        <v>0</v>
      </c>
      <c r="M28" s="220">
        <v>0</v>
      </c>
      <c r="N28" s="224">
        <v>0</v>
      </c>
      <c r="O28" s="264">
        <v>0</v>
      </c>
      <c r="P28" s="221">
        <v>0</v>
      </c>
      <c r="Q28" s="222">
        <v>0</v>
      </c>
      <c r="R28" s="222">
        <v>0</v>
      </c>
      <c r="S28" s="222">
        <v>0</v>
      </c>
      <c r="T28" s="222">
        <v>0</v>
      </c>
      <c r="U28" s="224">
        <v>0</v>
      </c>
      <c r="V28" s="224">
        <v>0</v>
      </c>
      <c r="W28" s="224">
        <v>0</v>
      </c>
      <c r="X28" s="224">
        <v>0</v>
      </c>
      <c r="Y28" s="511">
        <f t="shared" si="2"/>
        <v>236708</v>
      </c>
    </row>
    <row r="29" spans="1:25" x14ac:dyDescent="0.25">
      <c r="A29" s="637" t="s">
        <v>561</v>
      </c>
      <c r="B29" s="229" t="s">
        <v>958</v>
      </c>
      <c r="C29" s="203"/>
      <c r="D29" s="219"/>
      <c r="E29" s="220"/>
      <c r="F29" s="220"/>
      <c r="G29" s="220"/>
      <c r="H29" s="220"/>
      <c r="I29" s="220"/>
      <c r="J29" s="220"/>
      <c r="K29" s="220"/>
      <c r="L29" s="564"/>
      <c r="M29" s="220"/>
      <c r="N29" s="224"/>
      <c r="O29" s="264"/>
      <c r="P29" s="221"/>
      <c r="Q29" s="224"/>
      <c r="R29" s="222">
        <f>2655-2655</f>
        <v>0</v>
      </c>
      <c r="S29" s="222"/>
      <c r="T29" s="222">
        <f>39176</f>
        <v>39176</v>
      </c>
      <c r="U29" s="224"/>
      <c r="V29" s="224"/>
      <c r="W29" s="224"/>
      <c r="X29" s="224"/>
      <c r="Y29" s="511">
        <f t="shared" si="2"/>
        <v>39176</v>
      </c>
    </row>
    <row r="30" spans="1:25" x14ac:dyDescent="0.25">
      <c r="A30" s="637" t="s">
        <v>543</v>
      </c>
      <c r="B30" s="229" t="s">
        <v>298</v>
      </c>
      <c r="C30" s="203" t="s">
        <v>299</v>
      </c>
      <c r="D30" s="219" t="s">
        <v>326</v>
      </c>
      <c r="E30" s="220">
        <v>0</v>
      </c>
      <c r="F30" s="220">
        <v>0</v>
      </c>
      <c r="G30" s="220">
        <v>4602</v>
      </c>
      <c r="H30" s="220">
        <v>0</v>
      </c>
      <c r="I30" s="220">
        <v>0</v>
      </c>
      <c r="J30" s="220">
        <v>0</v>
      </c>
      <c r="K30" s="220">
        <v>0</v>
      </c>
      <c r="L30" s="564">
        <v>0</v>
      </c>
      <c r="M30" s="220">
        <v>0</v>
      </c>
      <c r="N30" s="224">
        <v>0</v>
      </c>
      <c r="O30" s="264">
        <v>0</v>
      </c>
      <c r="P30" s="221">
        <v>0</v>
      </c>
      <c r="Q30" s="222">
        <v>0</v>
      </c>
      <c r="R30" s="222">
        <v>0</v>
      </c>
      <c r="S30" s="222">
        <v>0</v>
      </c>
      <c r="T30" s="222">
        <v>0</v>
      </c>
      <c r="U30" s="224">
        <v>0</v>
      </c>
      <c r="V30" s="224">
        <v>0</v>
      </c>
      <c r="W30" s="224">
        <v>0</v>
      </c>
      <c r="X30" s="224">
        <v>0</v>
      </c>
      <c r="Y30" s="511">
        <f t="shared" si="2"/>
        <v>4602</v>
      </c>
    </row>
    <row r="31" spans="1:25" x14ac:dyDescent="0.25">
      <c r="A31" s="637" t="s">
        <v>562</v>
      </c>
      <c r="B31" s="229" t="s">
        <v>642</v>
      </c>
      <c r="C31" s="203"/>
      <c r="D31" s="219"/>
      <c r="E31" s="220"/>
      <c r="F31" s="220"/>
      <c r="G31" s="220"/>
      <c r="H31" s="220"/>
      <c r="I31" s="220"/>
      <c r="J31" s="220"/>
      <c r="K31" s="220"/>
      <c r="L31" s="564"/>
      <c r="M31" s="220"/>
      <c r="N31" s="224"/>
      <c r="O31" s="264"/>
      <c r="P31" s="221"/>
      <c r="Q31" s="222"/>
      <c r="R31" s="222">
        <f>27652.67</f>
        <v>27652.67</v>
      </c>
      <c r="S31" s="222"/>
      <c r="T31" s="222">
        <f>9671.53+27652.67+14744.95+5890.01</f>
        <v>57959.159999999996</v>
      </c>
      <c r="U31" s="224"/>
      <c r="V31" s="224"/>
      <c r="W31" s="224"/>
      <c r="X31" s="224"/>
      <c r="Y31" s="511">
        <f t="shared" ref="Y31:Y45" si="3">SUM(E31:X31)</f>
        <v>85611.829999999987</v>
      </c>
    </row>
    <row r="32" spans="1:25" x14ac:dyDescent="0.25">
      <c r="A32" s="637" t="s">
        <v>563</v>
      </c>
      <c r="B32" s="229" t="s">
        <v>300</v>
      </c>
      <c r="C32" s="203" t="s">
        <v>275</v>
      </c>
      <c r="D32" s="219" t="s">
        <v>326</v>
      </c>
      <c r="E32" s="220">
        <v>0</v>
      </c>
      <c r="F32" s="220">
        <f>77245.94</f>
        <v>77245.94</v>
      </c>
      <c r="G32" s="220">
        <f>26525</f>
        <v>26525</v>
      </c>
      <c r="H32" s="220">
        <v>0</v>
      </c>
      <c r="I32" s="220">
        <v>0</v>
      </c>
      <c r="J32" s="220">
        <v>0</v>
      </c>
      <c r="K32" s="220">
        <v>0</v>
      </c>
      <c r="L32" s="564">
        <v>0</v>
      </c>
      <c r="M32" s="220">
        <v>0</v>
      </c>
      <c r="N32" s="224">
        <v>0</v>
      </c>
      <c r="O32" s="264">
        <v>0</v>
      </c>
      <c r="P32" s="221">
        <v>0</v>
      </c>
      <c r="Q32" s="222">
        <v>0</v>
      </c>
      <c r="R32" s="222">
        <v>0</v>
      </c>
      <c r="S32" s="222">
        <v>0</v>
      </c>
      <c r="T32" s="222">
        <v>0</v>
      </c>
      <c r="U32" s="224">
        <v>0</v>
      </c>
      <c r="V32" s="224">
        <v>0</v>
      </c>
      <c r="W32" s="224">
        <v>0</v>
      </c>
      <c r="X32" s="224">
        <v>0</v>
      </c>
      <c r="Y32" s="511">
        <f t="shared" si="3"/>
        <v>103770.94</v>
      </c>
    </row>
    <row r="33" spans="1:25" x14ac:dyDescent="0.25">
      <c r="A33" s="637" t="s">
        <v>360</v>
      </c>
      <c r="B33" s="229" t="s">
        <v>301</v>
      </c>
      <c r="C33" s="203" t="s">
        <v>302</v>
      </c>
      <c r="D33" s="219" t="s">
        <v>326</v>
      </c>
      <c r="E33" s="220">
        <v>0</v>
      </c>
      <c r="F33" s="220">
        <v>0</v>
      </c>
      <c r="G33" s="220">
        <v>0</v>
      </c>
      <c r="H33" s="220">
        <v>0</v>
      </c>
      <c r="I33" s="220">
        <v>0</v>
      </c>
      <c r="J33" s="220">
        <v>0</v>
      </c>
      <c r="K33" s="220">
        <v>30500</v>
      </c>
      <c r="L33" s="564">
        <v>0</v>
      </c>
      <c r="M33" s="220">
        <v>0</v>
      </c>
      <c r="N33" s="224">
        <v>0</v>
      </c>
      <c r="O33" s="264">
        <v>0</v>
      </c>
      <c r="P33" s="221">
        <v>0</v>
      </c>
      <c r="Q33" s="222">
        <v>0</v>
      </c>
      <c r="R33" s="222">
        <v>0</v>
      </c>
      <c r="S33" s="222">
        <v>0</v>
      </c>
      <c r="T33" s="222">
        <v>0</v>
      </c>
      <c r="U33" s="224">
        <v>0</v>
      </c>
      <c r="V33" s="224">
        <v>0</v>
      </c>
      <c r="W33" s="224">
        <v>0</v>
      </c>
      <c r="X33" s="224">
        <v>0</v>
      </c>
      <c r="Y33" s="511">
        <f t="shared" si="3"/>
        <v>30500</v>
      </c>
    </row>
    <row r="34" spans="1:25" x14ac:dyDescent="0.25">
      <c r="A34" s="637" t="s">
        <v>564</v>
      </c>
      <c r="B34" s="229" t="s">
        <v>303</v>
      </c>
      <c r="C34" s="203" t="s">
        <v>304</v>
      </c>
      <c r="D34" s="219" t="s">
        <v>326</v>
      </c>
      <c r="E34" s="220">
        <v>0</v>
      </c>
      <c r="F34" s="220">
        <v>0</v>
      </c>
      <c r="G34" s="220">
        <v>0</v>
      </c>
      <c r="H34" s="220">
        <v>0</v>
      </c>
      <c r="I34" s="220">
        <v>0</v>
      </c>
      <c r="J34" s="220">
        <v>0</v>
      </c>
      <c r="K34" s="220">
        <v>2500</v>
      </c>
      <c r="L34" s="564">
        <v>0</v>
      </c>
      <c r="M34" s="220">
        <v>0</v>
      </c>
      <c r="N34" s="224">
        <v>0</v>
      </c>
      <c r="O34" s="264">
        <v>0</v>
      </c>
      <c r="P34" s="221">
        <v>0</v>
      </c>
      <c r="Q34" s="222">
        <v>0</v>
      </c>
      <c r="R34" s="222">
        <v>0</v>
      </c>
      <c r="S34" s="222">
        <v>0</v>
      </c>
      <c r="T34" s="224">
        <v>0</v>
      </c>
      <c r="U34" s="224">
        <v>0</v>
      </c>
      <c r="V34" s="224">
        <v>0</v>
      </c>
      <c r="W34" s="224">
        <v>0</v>
      </c>
      <c r="X34" s="224">
        <v>0</v>
      </c>
      <c r="Y34" s="511">
        <f t="shared" si="3"/>
        <v>2500</v>
      </c>
    </row>
    <row r="35" spans="1:25" x14ac:dyDescent="0.25">
      <c r="A35" s="637" t="s">
        <v>361</v>
      </c>
      <c r="B35" s="229" t="s">
        <v>621</v>
      </c>
      <c r="C35" s="203"/>
      <c r="D35" s="219"/>
      <c r="E35" s="220"/>
      <c r="F35" s="220"/>
      <c r="G35" s="220"/>
      <c r="H35" s="220"/>
      <c r="I35" s="220"/>
      <c r="J35" s="220"/>
      <c r="K35" s="220"/>
      <c r="L35" s="564"/>
      <c r="M35" s="220"/>
      <c r="N35" s="224"/>
      <c r="O35" s="264"/>
      <c r="P35" s="221"/>
      <c r="Q35" s="222"/>
      <c r="R35" s="224">
        <f>155550-155550</f>
        <v>0</v>
      </c>
      <c r="S35" s="222"/>
      <c r="T35" s="224">
        <f>175000+125000</f>
        <v>300000</v>
      </c>
      <c r="U35" s="224"/>
      <c r="V35" s="224"/>
      <c r="W35" s="224"/>
      <c r="X35" s="224"/>
      <c r="Y35" s="511">
        <f t="shared" si="3"/>
        <v>300000</v>
      </c>
    </row>
    <row r="36" spans="1:25" x14ac:dyDescent="0.25">
      <c r="A36" s="637" t="s">
        <v>362</v>
      </c>
      <c r="B36" s="229" t="s">
        <v>825</v>
      </c>
      <c r="C36" s="203" t="s">
        <v>959</v>
      </c>
      <c r="D36" s="219" t="s">
        <v>326</v>
      </c>
      <c r="E36" s="220">
        <v>0</v>
      </c>
      <c r="F36" s="220">
        <v>0</v>
      </c>
      <c r="G36" s="220">
        <v>0</v>
      </c>
      <c r="H36" s="220">
        <v>0</v>
      </c>
      <c r="I36" s="220">
        <v>0</v>
      </c>
      <c r="J36" s="220">
        <v>0</v>
      </c>
      <c r="K36" s="220">
        <v>0</v>
      </c>
      <c r="L36" s="564">
        <v>0</v>
      </c>
      <c r="M36" s="220">
        <v>0</v>
      </c>
      <c r="N36" s="224">
        <v>0</v>
      </c>
      <c r="O36" s="264">
        <v>0</v>
      </c>
      <c r="P36" s="221">
        <v>0</v>
      </c>
      <c r="Q36" s="257">
        <v>0</v>
      </c>
      <c r="R36" s="222">
        <v>0</v>
      </c>
      <c r="S36" s="224">
        <v>0</v>
      </c>
      <c r="T36" s="224">
        <f>4725</f>
        <v>4725</v>
      </c>
      <c r="U36" s="224">
        <f>3980-3980</f>
        <v>0</v>
      </c>
      <c r="V36" s="224">
        <f>6395+51715-58110</f>
        <v>0</v>
      </c>
      <c r="W36" s="224">
        <v>0</v>
      </c>
      <c r="X36" s="224">
        <v>0</v>
      </c>
      <c r="Y36" s="511">
        <f t="shared" si="3"/>
        <v>4725</v>
      </c>
    </row>
    <row r="37" spans="1:25" x14ac:dyDescent="0.25">
      <c r="A37" s="637" t="s">
        <v>566</v>
      </c>
      <c r="B37" s="229" t="s">
        <v>305</v>
      </c>
      <c r="C37" s="203" t="s">
        <v>306</v>
      </c>
      <c r="D37" s="219" t="s">
        <v>326</v>
      </c>
      <c r="E37" s="220">
        <v>0</v>
      </c>
      <c r="F37" s="220">
        <v>0</v>
      </c>
      <c r="G37" s="220">
        <v>0</v>
      </c>
      <c r="H37" s="220">
        <v>0</v>
      </c>
      <c r="I37" s="220">
        <v>0</v>
      </c>
      <c r="J37" s="220">
        <v>0</v>
      </c>
      <c r="K37" s="220">
        <v>0</v>
      </c>
      <c r="L37" s="220">
        <f>1298</f>
        <v>1298</v>
      </c>
      <c r="M37" s="220">
        <v>0</v>
      </c>
      <c r="N37" s="224">
        <v>0</v>
      </c>
      <c r="O37" s="264">
        <v>0</v>
      </c>
      <c r="P37" s="221">
        <v>0</v>
      </c>
      <c r="Q37" s="230">
        <v>0</v>
      </c>
      <c r="R37" s="222">
        <v>0</v>
      </c>
      <c r="S37" s="222">
        <v>0</v>
      </c>
      <c r="T37" s="222">
        <v>0</v>
      </c>
      <c r="U37" s="224">
        <v>0</v>
      </c>
      <c r="V37" s="224">
        <v>0</v>
      </c>
      <c r="W37" s="224">
        <v>0</v>
      </c>
      <c r="X37" s="224">
        <v>0</v>
      </c>
      <c r="Y37" s="511">
        <f t="shared" si="3"/>
        <v>1298</v>
      </c>
    </row>
    <row r="38" spans="1:25" x14ac:dyDescent="0.25">
      <c r="A38" s="637" t="s">
        <v>567</v>
      </c>
      <c r="B38" s="229" t="s">
        <v>844</v>
      </c>
      <c r="C38" s="203"/>
      <c r="D38" s="219"/>
      <c r="E38" s="220"/>
      <c r="F38" s="220"/>
      <c r="G38" s="220"/>
      <c r="H38" s="220"/>
      <c r="I38" s="220"/>
      <c r="J38" s="220"/>
      <c r="K38" s="220"/>
      <c r="L38" s="220"/>
      <c r="M38" s="220"/>
      <c r="N38" s="224"/>
      <c r="O38" s="264"/>
      <c r="P38" s="221"/>
      <c r="Q38" s="230"/>
      <c r="R38" s="222"/>
      <c r="S38" s="222"/>
      <c r="T38" s="222">
        <f>157246.8</f>
        <v>157246.79999999999</v>
      </c>
      <c r="U38" s="224"/>
      <c r="V38" s="224"/>
      <c r="W38" s="224"/>
      <c r="X38" s="224"/>
      <c r="Y38" s="511">
        <f t="shared" si="3"/>
        <v>157246.79999999999</v>
      </c>
    </row>
    <row r="39" spans="1:25" x14ac:dyDescent="0.25">
      <c r="A39" s="637" t="s">
        <v>580</v>
      </c>
      <c r="B39" s="229" t="s">
        <v>307</v>
      </c>
      <c r="C39" s="203" t="s">
        <v>280</v>
      </c>
      <c r="D39" s="219" t="s">
        <v>326</v>
      </c>
      <c r="E39" s="220">
        <v>0</v>
      </c>
      <c r="F39" s="220">
        <v>0</v>
      </c>
      <c r="G39" s="220">
        <f>107165</f>
        <v>107165</v>
      </c>
      <c r="H39" s="220">
        <v>0</v>
      </c>
      <c r="I39" s="220">
        <v>0</v>
      </c>
      <c r="J39" s="220">
        <v>0</v>
      </c>
      <c r="K39" s="220">
        <v>0</v>
      </c>
      <c r="L39" s="220">
        <v>0</v>
      </c>
      <c r="M39" s="220">
        <v>0</v>
      </c>
      <c r="N39" s="224">
        <v>0</v>
      </c>
      <c r="O39" s="264">
        <v>0</v>
      </c>
      <c r="P39" s="221">
        <v>0</v>
      </c>
      <c r="Q39" s="230">
        <v>0</v>
      </c>
      <c r="R39" s="222">
        <v>0</v>
      </c>
      <c r="S39" s="222">
        <v>0</v>
      </c>
      <c r="T39" s="222">
        <v>0</v>
      </c>
      <c r="U39" s="224">
        <v>0</v>
      </c>
      <c r="V39" s="224">
        <v>0</v>
      </c>
      <c r="W39" s="224">
        <v>0</v>
      </c>
      <c r="X39" s="224">
        <v>0</v>
      </c>
      <c r="Y39" s="511">
        <f t="shared" si="3"/>
        <v>107165</v>
      </c>
    </row>
    <row r="40" spans="1:25" x14ac:dyDescent="0.25">
      <c r="A40" s="637" t="s">
        <v>581</v>
      </c>
      <c r="B40" s="229" t="s">
        <v>308</v>
      </c>
      <c r="C40" s="203" t="s">
        <v>309</v>
      </c>
      <c r="D40" s="219" t="s">
        <v>326</v>
      </c>
      <c r="E40" s="220">
        <v>0</v>
      </c>
      <c r="F40" s="220">
        <v>0</v>
      </c>
      <c r="G40" s="220">
        <f>5245.28</f>
        <v>5245.28</v>
      </c>
      <c r="H40" s="220">
        <v>425</v>
      </c>
      <c r="I40" s="220">
        <v>0</v>
      </c>
      <c r="J40" s="220">
        <v>0</v>
      </c>
      <c r="K40" s="220">
        <v>0</v>
      </c>
      <c r="L40" s="220">
        <v>0</v>
      </c>
      <c r="M40" s="220">
        <v>0</v>
      </c>
      <c r="N40" s="224">
        <v>0</v>
      </c>
      <c r="O40" s="264">
        <v>0</v>
      </c>
      <c r="P40" s="221">
        <v>0</v>
      </c>
      <c r="Q40" s="230">
        <v>0</v>
      </c>
      <c r="R40" s="222">
        <v>0</v>
      </c>
      <c r="S40" s="222">
        <v>0</v>
      </c>
      <c r="T40" s="222">
        <v>0</v>
      </c>
      <c r="U40" s="224">
        <v>0</v>
      </c>
      <c r="V40" s="224">
        <v>0</v>
      </c>
      <c r="W40" s="224">
        <v>0</v>
      </c>
      <c r="X40" s="224">
        <v>0</v>
      </c>
      <c r="Y40" s="511">
        <f t="shared" si="3"/>
        <v>5670.28</v>
      </c>
    </row>
    <row r="41" spans="1:25" x14ac:dyDescent="0.25">
      <c r="A41" s="637" t="s">
        <v>582</v>
      </c>
      <c r="B41" s="229" t="s">
        <v>310</v>
      </c>
      <c r="C41" s="203" t="s">
        <v>279</v>
      </c>
      <c r="D41" s="219" t="s">
        <v>326</v>
      </c>
      <c r="E41" s="220">
        <v>0</v>
      </c>
      <c r="F41" s="220">
        <v>0</v>
      </c>
      <c r="G41" s="220">
        <v>0</v>
      </c>
      <c r="H41" s="220">
        <v>0</v>
      </c>
      <c r="I41" s="220">
        <f>51490</f>
        <v>51490</v>
      </c>
      <c r="J41" s="220">
        <v>0</v>
      </c>
      <c r="K41" s="220">
        <v>0</v>
      </c>
      <c r="L41" s="220">
        <v>0</v>
      </c>
      <c r="M41" s="220">
        <v>0</v>
      </c>
      <c r="N41" s="224">
        <v>0</v>
      </c>
      <c r="O41" s="264">
        <v>0</v>
      </c>
      <c r="P41" s="221">
        <v>0</v>
      </c>
      <c r="Q41" s="230">
        <v>0</v>
      </c>
      <c r="R41" s="222">
        <v>0</v>
      </c>
      <c r="S41" s="222">
        <v>0</v>
      </c>
      <c r="T41" s="222">
        <v>0</v>
      </c>
      <c r="U41" s="224">
        <v>0</v>
      </c>
      <c r="V41" s="224">
        <v>0</v>
      </c>
      <c r="W41" s="224">
        <v>0</v>
      </c>
      <c r="X41" s="224">
        <v>0</v>
      </c>
      <c r="Y41" s="511">
        <f t="shared" si="3"/>
        <v>51490</v>
      </c>
    </row>
    <row r="42" spans="1:25" x14ac:dyDescent="0.25">
      <c r="A42" s="637" t="s">
        <v>960</v>
      </c>
      <c r="B42" s="229" t="s">
        <v>961</v>
      </c>
      <c r="C42" s="203"/>
      <c r="D42" s="219"/>
      <c r="E42" s="220"/>
      <c r="F42" s="220"/>
      <c r="G42" s="220"/>
      <c r="H42" s="220"/>
      <c r="I42" s="220"/>
      <c r="J42" s="220"/>
      <c r="K42" s="220"/>
      <c r="L42" s="220"/>
      <c r="M42" s="220"/>
      <c r="N42" s="224"/>
      <c r="O42" s="264"/>
      <c r="P42" s="221"/>
      <c r="Q42" s="230"/>
      <c r="R42" s="222"/>
      <c r="S42" s="222"/>
      <c r="T42" s="222">
        <f>283200</f>
        <v>283200</v>
      </c>
      <c r="U42" s="224"/>
      <c r="V42" s="224"/>
      <c r="W42" s="224"/>
      <c r="X42" s="224"/>
      <c r="Y42" s="511">
        <f t="shared" si="3"/>
        <v>283200</v>
      </c>
    </row>
    <row r="43" spans="1:25" x14ac:dyDescent="0.25">
      <c r="A43" s="637" t="s">
        <v>962</v>
      </c>
      <c r="B43" s="229" t="s">
        <v>887</v>
      </c>
      <c r="C43" s="203"/>
      <c r="D43" s="219"/>
      <c r="E43" s="220"/>
      <c r="F43" s="220"/>
      <c r="G43" s="220"/>
      <c r="H43" s="220"/>
      <c r="I43" s="220"/>
      <c r="J43" s="220"/>
      <c r="K43" s="220"/>
      <c r="L43" s="220"/>
      <c r="M43" s="220"/>
      <c r="N43" s="224"/>
      <c r="O43" s="264"/>
      <c r="P43" s="221"/>
      <c r="Q43" s="230"/>
      <c r="R43" s="222"/>
      <c r="S43" s="222"/>
      <c r="T43" s="222">
        <f>2273.11</f>
        <v>2273.11</v>
      </c>
      <c r="U43" s="224"/>
      <c r="V43" s="224"/>
      <c r="W43" s="224"/>
      <c r="X43" s="224"/>
      <c r="Y43" s="511">
        <f t="shared" si="3"/>
        <v>2273.11</v>
      </c>
    </row>
    <row r="44" spans="1:25" x14ac:dyDescent="0.25">
      <c r="A44" s="637" t="s">
        <v>963</v>
      </c>
      <c r="B44" s="229" t="s">
        <v>311</v>
      </c>
      <c r="C44" s="203" t="s">
        <v>279</v>
      </c>
      <c r="D44" s="219" t="s">
        <v>326</v>
      </c>
      <c r="E44" s="220">
        <v>0</v>
      </c>
      <c r="F44" s="220">
        <v>0</v>
      </c>
      <c r="G44" s="220">
        <f>167230.35</f>
        <v>167230.35</v>
      </c>
      <c r="H44" s="220">
        <v>0</v>
      </c>
      <c r="I44" s="220">
        <v>0</v>
      </c>
      <c r="J44" s="220">
        <v>0</v>
      </c>
      <c r="K44" s="220">
        <v>0</v>
      </c>
      <c r="L44" s="220">
        <v>0</v>
      </c>
      <c r="M44" s="220">
        <v>0</v>
      </c>
      <c r="N44" s="224">
        <v>0</v>
      </c>
      <c r="O44" s="264">
        <v>0</v>
      </c>
      <c r="P44" s="221">
        <v>0</v>
      </c>
      <c r="Q44" s="230">
        <v>0</v>
      </c>
      <c r="R44" s="224">
        <v>0</v>
      </c>
      <c r="S44" s="222">
        <v>0</v>
      </c>
      <c r="T44" s="222">
        <v>0</v>
      </c>
      <c r="U44" s="224">
        <v>0</v>
      </c>
      <c r="V44" s="224">
        <v>0</v>
      </c>
      <c r="W44" s="224">
        <v>0</v>
      </c>
      <c r="X44" s="224">
        <v>0</v>
      </c>
      <c r="Y44" s="511">
        <f t="shared" si="3"/>
        <v>167230.35</v>
      </c>
    </row>
    <row r="45" spans="1:25" x14ac:dyDescent="0.25">
      <c r="A45" s="637" t="s">
        <v>964</v>
      </c>
      <c r="B45" s="229" t="s">
        <v>965</v>
      </c>
      <c r="C45" s="203"/>
      <c r="D45" s="219"/>
      <c r="E45" s="220"/>
      <c r="F45" s="220"/>
      <c r="G45" s="220"/>
      <c r="H45" s="220"/>
      <c r="I45" s="220"/>
      <c r="J45" s="220"/>
      <c r="K45" s="220"/>
      <c r="L45" s="220"/>
      <c r="M45" s="220"/>
      <c r="N45" s="224"/>
      <c r="O45" s="264"/>
      <c r="P45" s="221"/>
      <c r="Q45" s="230"/>
      <c r="R45" s="224"/>
      <c r="S45" s="222"/>
      <c r="T45" s="222">
        <f>40120</f>
        <v>40120</v>
      </c>
      <c r="U45" s="224"/>
      <c r="V45" s="224"/>
      <c r="W45" s="224"/>
      <c r="X45" s="224"/>
      <c r="Y45" s="511">
        <f t="shared" si="3"/>
        <v>40120</v>
      </c>
    </row>
    <row r="46" spans="1:25" x14ac:dyDescent="0.25">
      <c r="A46" s="637" t="s">
        <v>966</v>
      </c>
      <c r="B46" s="229" t="s">
        <v>696</v>
      </c>
      <c r="C46" s="203" t="s">
        <v>697</v>
      </c>
      <c r="D46" s="219" t="s">
        <v>326</v>
      </c>
      <c r="E46" s="474">
        <v>0</v>
      </c>
      <c r="F46" s="474">
        <v>0</v>
      </c>
      <c r="G46" s="220">
        <v>0</v>
      </c>
      <c r="H46" s="220">
        <v>0</v>
      </c>
      <c r="I46" s="220">
        <v>0</v>
      </c>
      <c r="J46" s="220">
        <v>0</v>
      </c>
      <c r="K46" s="220">
        <v>0</v>
      </c>
      <c r="L46" s="220">
        <v>0</v>
      </c>
      <c r="M46" s="220">
        <v>0</v>
      </c>
      <c r="N46" s="224">
        <v>0</v>
      </c>
      <c r="O46" s="264">
        <v>0</v>
      </c>
      <c r="P46" s="221">
        <v>0</v>
      </c>
      <c r="Q46" s="257">
        <v>0</v>
      </c>
      <c r="R46" s="224">
        <f>24878-24878</f>
        <v>0</v>
      </c>
      <c r="S46" s="224">
        <v>0</v>
      </c>
      <c r="T46" s="224">
        <f>11253.2</f>
        <v>11253.2</v>
      </c>
      <c r="U46" s="224">
        <v>0</v>
      </c>
      <c r="V46" s="224">
        <v>0</v>
      </c>
      <c r="W46" s="224">
        <v>0</v>
      </c>
      <c r="X46" s="224">
        <v>0</v>
      </c>
      <c r="Y46" s="511">
        <f t="shared" ref="Y46:Y47" si="4">SUM(E46:X46)</f>
        <v>11253.2</v>
      </c>
    </row>
    <row r="47" spans="1:25" x14ac:dyDescent="0.25">
      <c r="A47" s="637" t="s">
        <v>967</v>
      </c>
      <c r="B47" s="229" t="s">
        <v>364</v>
      </c>
      <c r="C47" s="203" t="s">
        <v>286</v>
      </c>
      <c r="D47" s="219" t="s">
        <v>326</v>
      </c>
      <c r="E47" s="474">
        <v>0</v>
      </c>
      <c r="F47" s="474">
        <v>0</v>
      </c>
      <c r="G47" s="220">
        <v>0</v>
      </c>
      <c r="H47" s="220">
        <v>0</v>
      </c>
      <c r="I47" s="220">
        <v>0</v>
      </c>
      <c r="J47" s="220">
        <v>0</v>
      </c>
      <c r="K47" s="220">
        <v>0</v>
      </c>
      <c r="L47" s="220">
        <v>0</v>
      </c>
      <c r="M47" s="220">
        <v>0</v>
      </c>
      <c r="N47" s="224">
        <v>0</v>
      </c>
      <c r="O47" s="264">
        <v>0</v>
      </c>
      <c r="P47" s="221">
        <v>0</v>
      </c>
      <c r="Q47" s="257">
        <f>66900-66900</f>
        <v>0</v>
      </c>
      <c r="R47" s="224">
        <f>94673.2-94673.2</f>
        <v>0</v>
      </c>
      <c r="S47" s="224">
        <v>0</v>
      </c>
      <c r="T47" s="224">
        <f>112977</f>
        <v>112977</v>
      </c>
      <c r="U47" s="224">
        <f>86665-86665</f>
        <v>0</v>
      </c>
      <c r="V47" s="224">
        <v>0</v>
      </c>
      <c r="W47" s="224">
        <v>0</v>
      </c>
      <c r="X47" s="616">
        <v>0</v>
      </c>
      <c r="Y47" s="511">
        <f t="shared" si="4"/>
        <v>112977</v>
      </c>
    </row>
    <row r="48" spans="1:25" x14ac:dyDescent="0.25">
      <c r="A48" s="637" t="s">
        <v>968</v>
      </c>
      <c r="B48" s="229" t="s">
        <v>313</v>
      </c>
      <c r="C48" s="203" t="s">
        <v>314</v>
      </c>
      <c r="D48" s="219" t="s">
        <v>326</v>
      </c>
      <c r="E48" s="220">
        <v>0</v>
      </c>
      <c r="F48" s="220">
        <f>11590</f>
        <v>11590</v>
      </c>
      <c r="G48" s="220">
        <f>1865</f>
        <v>1865</v>
      </c>
      <c r="H48" s="220">
        <v>0</v>
      </c>
      <c r="I48" s="220">
        <v>0</v>
      </c>
      <c r="J48" s="220">
        <v>0</v>
      </c>
      <c r="K48" s="220">
        <v>0</v>
      </c>
      <c r="L48" s="220">
        <v>0</v>
      </c>
      <c r="M48" s="220">
        <v>0</v>
      </c>
      <c r="N48" s="224">
        <v>0</v>
      </c>
      <c r="O48" s="264">
        <v>0</v>
      </c>
      <c r="P48" s="221">
        <v>0</v>
      </c>
      <c r="Q48" s="230">
        <v>0</v>
      </c>
      <c r="R48" s="222">
        <v>0</v>
      </c>
      <c r="S48" s="222">
        <v>0</v>
      </c>
      <c r="T48" s="224">
        <v>0</v>
      </c>
      <c r="U48" s="224">
        <v>0</v>
      </c>
      <c r="V48" s="224">
        <v>0</v>
      </c>
      <c r="W48" s="224">
        <v>0</v>
      </c>
      <c r="X48" s="224">
        <v>0</v>
      </c>
      <c r="Y48" s="511">
        <f t="shared" ref="Y48:Y51" si="5">SUM(E48:X48)</f>
        <v>13455</v>
      </c>
    </row>
    <row r="49" spans="1:27" x14ac:dyDescent="0.25">
      <c r="A49" s="637" t="s">
        <v>969</v>
      </c>
      <c r="B49" s="229" t="s">
        <v>315</v>
      </c>
      <c r="C49" s="203" t="s">
        <v>316</v>
      </c>
      <c r="D49" s="219" t="s">
        <v>326</v>
      </c>
      <c r="E49" s="220">
        <v>0</v>
      </c>
      <c r="F49" s="220">
        <v>0</v>
      </c>
      <c r="G49" s="220">
        <v>0</v>
      </c>
      <c r="H49" s="220">
        <v>0</v>
      </c>
      <c r="I49" s="220">
        <v>0</v>
      </c>
      <c r="J49" s="220">
        <v>1800</v>
      </c>
      <c r="K49" s="220">
        <v>0</v>
      </c>
      <c r="L49" s="220">
        <v>0</v>
      </c>
      <c r="M49" s="220">
        <v>0</v>
      </c>
      <c r="N49" s="224">
        <v>0</v>
      </c>
      <c r="O49" s="264">
        <v>0</v>
      </c>
      <c r="P49" s="221">
        <v>0</v>
      </c>
      <c r="Q49" s="230">
        <v>0</v>
      </c>
      <c r="R49" s="224">
        <v>0</v>
      </c>
      <c r="S49" s="222">
        <v>0</v>
      </c>
      <c r="T49" s="224">
        <v>0</v>
      </c>
      <c r="U49" s="224">
        <v>0</v>
      </c>
      <c r="V49" s="224">
        <v>0</v>
      </c>
      <c r="W49" s="224">
        <v>0</v>
      </c>
      <c r="X49" s="224">
        <v>0</v>
      </c>
      <c r="Y49" s="511">
        <f t="shared" si="5"/>
        <v>1800</v>
      </c>
    </row>
    <row r="50" spans="1:27" x14ac:dyDescent="0.25">
      <c r="A50" s="637" t="s">
        <v>970</v>
      </c>
      <c r="B50" s="229" t="s">
        <v>917</v>
      </c>
      <c r="C50" s="203"/>
      <c r="D50" s="219"/>
      <c r="E50" s="220"/>
      <c r="F50" s="220"/>
      <c r="G50" s="220"/>
      <c r="H50" s="220"/>
      <c r="I50" s="220"/>
      <c r="J50" s="220"/>
      <c r="K50" s="220"/>
      <c r="L50" s="220"/>
      <c r="M50" s="220"/>
      <c r="N50" s="224"/>
      <c r="O50" s="264"/>
      <c r="P50" s="221"/>
      <c r="Q50" s="257"/>
      <c r="R50" s="224"/>
      <c r="S50" s="222"/>
      <c r="T50" s="224">
        <f>59150+77400</f>
        <v>136550</v>
      </c>
      <c r="U50" s="224"/>
      <c r="V50" s="224"/>
      <c r="W50" s="224"/>
      <c r="X50" s="224"/>
      <c r="Y50" s="512">
        <f t="shared" si="5"/>
        <v>136550</v>
      </c>
    </row>
    <row r="51" spans="1:27" ht="15.75" thickBot="1" x14ac:dyDescent="0.3">
      <c r="A51" s="637" t="s">
        <v>971</v>
      </c>
      <c r="B51" s="229" t="s">
        <v>317</v>
      </c>
      <c r="C51" s="203" t="s">
        <v>318</v>
      </c>
      <c r="D51" s="219" t="s">
        <v>326</v>
      </c>
      <c r="E51" s="225">
        <f>8788.44</f>
        <v>8788.44</v>
      </c>
      <c r="F51" s="225">
        <v>0</v>
      </c>
      <c r="G51" s="225">
        <f>41300</f>
        <v>41300</v>
      </c>
      <c r="H51" s="220">
        <v>0</v>
      </c>
      <c r="I51" s="220">
        <v>0</v>
      </c>
      <c r="J51" s="225">
        <v>0</v>
      </c>
      <c r="K51" s="220">
        <v>0</v>
      </c>
      <c r="L51" s="220">
        <v>0</v>
      </c>
      <c r="M51" s="220">
        <v>0</v>
      </c>
      <c r="N51" s="224">
        <v>0</v>
      </c>
      <c r="O51" s="264">
        <v>0</v>
      </c>
      <c r="P51" s="221">
        <v>0</v>
      </c>
      <c r="Q51" s="230">
        <v>0</v>
      </c>
      <c r="R51" s="224">
        <v>0</v>
      </c>
      <c r="S51" s="222">
        <v>0</v>
      </c>
      <c r="T51" s="224">
        <v>0</v>
      </c>
      <c r="U51" s="224">
        <v>0</v>
      </c>
      <c r="V51" s="224">
        <v>0</v>
      </c>
      <c r="W51" s="224">
        <v>0</v>
      </c>
      <c r="X51" s="224">
        <v>0</v>
      </c>
      <c r="Y51" s="512">
        <f t="shared" si="5"/>
        <v>50088.44</v>
      </c>
    </row>
    <row r="52" spans="1:27" ht="15.75" thickBot="1" x14ac:dyDescent="0.3">
      <c r="A52" s="815" t="s">
        <v>339</v>
      </c>
      <c r="B52" s="816"/>
      <c r="C52" s="816"/>
      <c r="D52" s="817"/>
      <c r="E52" s="568">
        <f t="shared" ref="E52:Y52" si="6">SUM(E8:E51)</f>
        <v>135153.94</v>
      </c>
      <c r="F52" s="568">
        <f t="shared" si="6"/>
        <v>141935.94</v>
      </c>
      <c r="G52" s="568">
        <f t="shared" si="6"/>
        <v>574828.63</v>
      </c>
      <c r="H52" s="568">
        <f t="shared" si="6"/>
        <v>6797</v>
      </c>
      <c r="I52" s="568">
        <f t="shared" si="6"/>
        <v>59444</v>
      </c>
      <c r="J52" s="568">
        <f t="shared" si="6"/>
        <v>65707.09</v>
      </c>
      <c r="K52" s="568">
        <f t="shared" si="6"/>
        <v>240879.85</v>
      </c>
      <c r="L52" s="568">
        <f t="shared" si="6"/>
        <v>1298</v>
      </c>
      <c r="M52" s="568">
        <f t="shared" si="6"/>
        <v>47790</v>
      </c>
      <c r="N52" s="568">
        <f t="shared" si="6"/>
        <v>460355.76</v>
      </c>
      <c r="O52" s="568">
        <f t="shared" si="6"/>
        <v>0</v>
      </c>
      <c r="P52" s="568">
        <f t="shared" si="6"/>
        <v>0</v>
      </c>
      <c r="Q52" s="568">
        <f t="shared" si="6"/>
        <v>0</v>
      </c>
      <c r="R52" s="568">
        <f t="shared" si="6"/>
        <v>35627.67</v>
      </c>
      <c r="S52" s="568">
        <f t="shared" si="6"/>
        <v>0</v>
      </c>
      <c r="T52" s="568">
        <f t="shared" si="6"/>
        <v>2232244.4300000002</v>
      </c>
      <c r="U52" s="568">
        <f t="shared" si="6"/>
        <v>0</v>
      </c>
      <c r="V52" s="568">
        <f t="shared" si="6"/>
        <v>0</v>
      </c>
      <c r="W52" s="568">
        <f t="shared" si="6"/>
        <v>135582</v>
      </c>
      <c r="X52" s="568">
        <f t="shared" si="6"/>
        <v>0</v>
      </c>
      <c r="Y52" s="569">
        <f t="shared" si="6"/>
        <v>4002062.31</v>
      </c>
      <c r="AA52" s="232"/>
    </row>
    <row r="53" spans="1:27" x14ac:dyDescent="0.25">
      <c r="A53" s="233"/>
      <c r="B53" s="233"/>
      <c r="C53" s="233"/>
      <c r="D53" s="233"/>
      <c r="E53" s="233"/>
      <c r="F53" s="233"/>
      <c r="G53" s="233"/>
      <c r="H53" s="233"/>
      <c r="I53" s="233"/>
      <c r="J53" s="233"/>
      <c r="K53" s="233"/>
      <c r="L53" s="233"/>
      <c r="M53" s="233"/>
      <c r="N53" s="233"/>
      <c r="O53" s="233"/>
      <c r="P53" s="233"/>
      <c r="Q53" s="233"/>
      <c r="R53" s="233"/>
      <c r="S53" s="233"/>
      <c r="T53" s="233"/>
      <c r="U53" s="233"/>
      <c r="V53" s="233"/>
      <c r="W53" s="233"/>
      <c r="X53" s="233"/>
      <c r="Y53" s="233"/>
    </row>
    <row r="54" spans="1:27" x14ac:dyDescent="0.25">
      <c r="A54" s="233"/>
      <c r="B54" s="233"/>
      <c r="C54" s="233"/>
      <c r="D54" s="233"/>
      <c r="E54" s="233"/>
      <c r="F54" s="233"/>
      <c r="G54" s="233"/>
      <c r="H54" s="233"/>
      <c r="I54" s="233"/>
      <c r="J54" s="233"/>
      <c r="K54" s="233"/>
      <c r="L54" s="233"/>
      <c r="M54" s="233"/>
      <c r="N54" s="233"/>
      <c r="O54" s="233"/>
      <c r="P54" s="233"/>
      <c r="Q54" s="233"/>
      <c r="R54" s="233"/>
      <c r="S54" s="233"/>
      <c r="T54" s="233"/>
      <c r="U54" s="233"/>
      <c r="V54" s="233"/>
      <c r="W54" s="233"/>
      <c r="X54" s="233"/>
      <c r="Y54" s="233"/>
    </row>
    <row r="55" spans="1:27" x14ac:dyDescent="0.25">
      <c r="A55" s="233"/>
      <c r="B55" s="233"/>
      <c r="C55" s="233"/>
      <c r="D55" s="233"/>
      <c r="E55" s="233"/>
      <c r="F55" s="233"/>
      <c r="G55" s="233"/>
      <c r="H55" s="233"/>
      <c r="I55" s="233"/>
      <c r="J55" s="233"/>
      <c r="K55" s="233"/>
      <c r="L55" s="233"/>
      <c r="M55" s="233"/>
      <c r="N55" s="233"/>
      <c r="O55" s="233"/>
      <c r="P55" s="233"/>
      <c r="Q55" s="233"/>
      <c r="R55" s="233"/>
      <c r="S55" s="233"/>
      <c r="T55" s="233"/>
      <c r="U55" s="233"/>
      <c r="V55" s="233"/>
      <c r="W55" s="233"/>
      <c r="X55" s="233"/>
      <c r="Y55" s="233"/>
    </row>
    <row r="56" spans="1:27" x14ac:dyDescent="0.25">
      <c r="A56" s="233"/>
      <c r="B56" s="233"/>
      <c r="C56" s="233"/>
      <c r="D56" s="233"/>
      <c r="R56" s="813"/>
      <c r="S56" s="813"/>
      <c r="T56" s="491"/>
      <c r="U56" s="491"/>
      <c r="V56" s="491"/>
      <c r="W56" s="491"/>
      <c r="X56" s="491"/>
      <c r="Y56" s="490"/>
      <c r="Z56" s="491"/>
    </row>
    <row r="57" spans="1:27" x14ac:dyDescent="0.25">
      <c r="A57" s="233"/>
      <c r="B57" s="481" t="s">
        <v>351</v>
      </c>
      <c r="C57" s="818"/>
      <c r="D57" s="818"/>
      <c r="E57" s="471"/>
      <c r="F57" s="813" t="s">
        <v>545</v>
      </c>
      <c r="G57" s="813"/>
      <c r="H57" s="471"/>
      <c r="I57" s="813" t="s">
        <v>731</v>
      </c>
      <c r="J57" s="813"/>
      <c r="K57" s="471"/>
      <c r="N57" s="813"/>
      <c r="O57" s="813"/>
      <c r="R57" s="814"/>
      <c r="S57" s="814"/>
      <c r="T57" s="470"/>
      <c r="U57" s="470" t="s">
        <v>352</v>
      </c>
      <c r="V57" s="470"/>
      <c r="W57" s="470"/>
      <c r="X57" s="470"/>
      <c r="Y57" s="470"/>
      <c r="Z57" s="470"/>
    </row>
    <row r="58" spans="1:27" x14ac:dyDescent="0.25">
      <c r="A58" s="254"/>
      <c r="B58" s="589" t="s">
        <v>353</v>
      </c>
      <c r="C58" s="819"/>
      <c r="D58" s="819"/>
      <c r="E58" s="245"/>
      <c r="F58" s="814" t="s">
        <v>350</v>
      </c>
      <c r="G58" s="814"/>
      <c r="H58" s="245"/>
      <c r="I58" s="814" t="s">
        <v>727</v>
      </c>
      <c r="J58" s="814"/>
      <c r="K58" s="245"/>
      <c r="L58" s="245"/>
      <c r="M58" s="245"/>
      <c r="N58" s="814"/>
      <c r="O58" s="814"/>
      <c r="P58" s="473"/>
      <c r="Q58" s="473"/>
      <c r="R58" s="814"/>
      <c r="S58" s="814"/>
      <c r="T58" s="470"/>
      <c r="U58" s="470" t="s">
        <v>348</v>
      </c>
      <c r="V58" s="470"/>
      <c r="W58" s="476"/>
      <c r="X58" s="470"/>
      <c r="Y58" s="470"/>
      <c r="Z58" s="476"/>
    </row>
    <row r="59" spans="1:27" x14ac:dyDescent="0.25">
      <c r="A59" s="254"/>
      <c r="B59" s="478" t="s">
        <v>342</v>
      </c>
      <c r="C59" s="819"/>
      <c r="D59" s="819"/>
      <c r="E59" s="245"/>
      <c r="F59" s="814" t="s">
        <v>262</v>
      </c>
      <c r="G59" s="814"/>
      <c r="H59" s="245"/>
      <c r="I59" s="814" t="s">
        <v>349</v>
      </c>
      <c r="J59" s="814"/>
      <c r="K59" s="245"/>
      <c r="L59" s="245"/>
      <c r="M59" s="245"/>
      <c r="N59" s="814"/>
      <c r="O59" s="814"/>
      <c r="P59" s="255"/>
      <c r="Q59" s="255"/>
      <c r="R59" s="475"/>
      <c r="S59" s="475" t="s">
        <v>349</v>
      </c>
      <c r="T59" s="470"/>
      <c r="U59" s="475" t="s">
        <v>349</v>
      </c>
      <c r="V59" s="470"/>
      <c r="W59" s="475"/>
      <c r="X59" s="475"/>
      <c r="Y59" s="470"/>
      <c r="Z59" s="475"/>
    </row>
    <row r="60" spans="1:27" x14ac:dyDescent="0.25">
      <c r="A60" s="233"/>
      <c r="B60" s="233"/>
      <c r="C60" s="233"/>
      <c r="D60" s="233"/>
      <c r="R60" s="470"/>
      <c r="S60" s="470"/>
      <c r="T60" s="470"/>
      <c r="U60" s="470"/>
      <c r="V60" s="470"/>
      <c r="W60" s="470"/>
      <c r="X60" s="470"/>
      <c r="Y60" s="470"/>
    </row>
    <row r="61" spans="1:27" x14ac:dyDescent="0.25">
      <c r="A61" s="233"/>
      <c r="B61" s="233"/>
      <c r="C61" s="233"/>
      <c r="D61" s="233"/>
    </row>
    <row r="64" spans="1:27" x14ac:dyDescent="0.25">
      <c r="R64" t="s">
        <v>73</v>
      </c>
    </row>
    <row r="107" spans="14:14" ht="15.75" x14ac:dyDescent="0.25">
      <c r="N107" s="480" t="s">
        <v>546</v>
      </c>
    </row>
    <row r="309" spans="15:15" x14ac:dyDescent="0.25">
      <c r="O309">
        <f>O301+O302+O303+O304+O305+O306+O307+O308</f>
        <v>0</v>
      </c>
    </row>
    <row r="538" spans="15:15" x14ac:dyDescent="0.25">
      <c r="O538">
        <f>SUM(O522:O537)</f>
        <v>0</v>
      </c>
    </row>
    <row r="890" spans="15:15" x14ac:dyDescent="0.25">
      <c r="O890">
        <f>SUM(O874:O889)</f>
        <v>0</v>
      </c>
    </row>
  </sheetData>
  <mergeCells count="20">
    <mergeCell ref="C59:D59"/>
    <mergeCell ref="F59:G59"/>
    <mergeCell ref="I59:J59"/>
    <mergeCell ref="N59:O59"/>
    <mergeCell ref="C58:D58"/>
    <mergeCell ref="F58:G58"/>
    <mergeCell ref="I58:J58"/>
    <mergeCell ref="N58:O58"/>
    <mergeCell ref="A5:G5"/>
    <mergeCell ref="A1:Y1"/>
    <mergeCell ref="A2:Y2"/>
    <mergeCell ref="A3:Y3"/>
    <mergeCell ref="R58:S58"/>
    <mergeCell ref="A52:D52"/>
    <mergeCell ref="R56:S56"/>
    <mergeCell ref="C57:D57"/>
    <mergeCell ref="F57:G57"/>
    <mergeCell ref="I57:J57"/>
    <mergeCell ref="N57:O57"/>
    <mergeCell ref="R57:S57"/>
  </mergeCells>
  <phoneticPr fontId="77" type="noConversion"/>
  <pageMargins left="0.31496062992125984" right="0.11811023622047245" top="0.39370078740157483" bottom="0.15748031496062992" header="0.31496062992125984" footer="0.31496062992125984"/>
  <pageSetup paperSize="9" scale="75" orientation="landscape" horizontalDpi="4294967293" r:id="rId1"/>
  <rowBreaks count="2" manualBreakCount="2">
    <brk id="47" max="24" man="1"/>
    <brk id="78" max="2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0D370-2F38-43BB-B16C-D5CA17800289}">
  <dimension ref="A1:P776"/>
  <sheetViews>
    <sheetView zoomScaleNormal="100" workbookViewId="0">
      <selection activeCell="E7" sqref="E7"/>
    </sheetView>
  </sheetViews>
  <sheetFormatPr baseColWidth="10" defaultColWidth="9.140625" defaultRowHeight="15" x14ac:dyDescent="0.25"/>
  <cols>
    <col min="1" max="1" width="3.42578125" customWidth="1"/>
    <col min="2" max="2" width="11.7109375" customWidth="1"/>
    <col min="3" max="3" width="11.5703125" customWidth="1"/>
    <col min="4" max="4" width="14.7109375" customWidth="1"/>
    <col min="5" max="5" width="21.42578125" customWidth="1"/>
    <col min="6" max="6" width="28.140625" customWidth="1"/>
    <col min="7" max="7" width="19.42578125" customWidth="1"/>
    <col min="8" max="10" width="11.42578125" customWidth="1"/>
    <col min="11" max="11" width="14.5703125" customWidth="1"/>
    <col min="12" max="12" width="14.85546875" bestFit="1" customWidth="1"/>
    <col min="13" max="14" width="14.85546875" customWidth="1"/>
  </cols>
  <sheetData>
    <row r="1" spans="1:11" x14ac:dyDescent="0.25">
      <c r="A1" s="298"/>
    </row>
    <row r="2" spans="1:11" x14ac:dyDescent="0.25">
      <c r="A2" s="298"/>
      <c r="B2" s="299"/>
    </row>
    <row r="3" spans="1:11" x14ac:dyDescent="0.25">
      <c r="A3" s="298"/>
      <c r="B3" s="300"/>
    </row>
    <row r="4" spans="1:11" x14ac:dyDescent="0.25">
      <c r="A4" s="298"/>
      <c r="B4" s="301"/>
      <c r="C4" s="208" t="s">
        <v>408</v>
      </c>
      <c r="D4" s="176"/>
      <c r="E4" s="176"/>
    </row>
    <row r="5" spans="1:11" x14ac:dyDescent="0.25">
      <c r="A5" s="298"/>
      <c r="B5" s="820" t="s">
        <v>972</v>
      </c>
      <c r="C5" s="820"/>
      <c r="D5" s="820"/>
      <c r="E5" s="820"/>
      <c r="F5" s="820"/>
      <c r="G5" s="820"/>
    </row>
    <row r="6" spans="1:11" x14ac:dyDescent="0.25">
      <c r="A6" s="298"/>
      <c r="B6" s="302"/>
      <c r="C6" s="302"/>
      <c r="D6" s="302"/>
      <c r="E6" s="302" t="s">
        <v>409</v>
      </c>
      <c r="F6" s="302"/>
      <c r="G6" s="302"/>
    </row>
    <row r="7" spans="1:11" x14ac:dyDescent="0.25">
      <c r="A7" s="298"/>
      <c r="B7" s="302"/>
      <c r="D7" t="s">
        <v>410</v>
      </c>
      <c r="E7" s="255">
        <v>4</v>
      </c>
    </row>
    <row r="8" spans="1:11" ht="16.5" thickBot="1" x14ac:dyDescent="0.3">
      <c r="A8" s="298"/>
      <c r="B8" s="302"/>
      <c r="D8" s="571" t="s">
        <v>321</v>
      </c>
      <c r="E8" s="571"/>
    </row>
    <row r="9" spans="1:11" ht="24" customHeight="1" x14ac:dyDescent="0.25">
      <c r="A9" s="298"/>
      <c r="B9" s="821" t="s">
        <v>411</v>
      </c>
      <c r="C9" s="477" t="s">
        <v>412</v>
      </c>
      <c r="D9" s="823" t="s">
        <v>413</v>
      </c>
      <c r="E9" s="823" t="s">
        <v>414</v>
      </c>
      <c r="F9" s="823" t="s">
        <v>415</v>
      </c>
      <c r="G9" s="825" t="s">
        <v>416</v>
      </c>
      <c r="I9" s="303"/>
      <c r="J9" s="303"/>
      <c r="K9" s="32"/>
    </row>
    <row r="10" spans="1:11" x14ac:dyDescent="0.25">
      <c r="A10" s="298"/>
      <c r="B10" s="822"/>
      <c r="C10" s="572" t="s">
        <v>417</v>
      </c>
      <c r="D10" s="824"/>
      <c r="E10" s="824"/>
      <c r="F10" s="824"/>
      <c r="G10" s="826"/>
      <c r="K10" s="32"/>
    </row>
    <row r="11" spans="1:11" x14ac:dyDescent="0.25">
      <c r="A11" s="298"/>
      <c r="B11" s="573"/>
      <c r="C11" s="574"/>
      <c r="D11" s="575"/>
      <c r="E11" s="576" t="s">
        <v>420</v>
      </c>
      <c r="F11" s="577"/>
      <c r="G11" s="578">
        <v>0</v>
      </c>
      <c r="I11" s="307"/>
      <c r="K11" s="32"/>
    </row>
    <row r="12" spans="1:11" x14ac:dyDescent="0.25">
      <c r="A12" s="298"/>
      <c r="B12" s="308">
        <v>44081</v>
      </c>
      <c r="C12" s="509" t="s">
        <v>421</v>
      </c>
      <c r="D12" s="227" t="s">
        <v>422</v>
      </c>
      <c r="E12" s="309" t="s">
        <v>420</v>
      </c>
      <c r="F12" s="263" t="s">
        <v>423</v>
      </c>
      <c r="G12" s="579">
        <v>2300</v>
      </c>
      <c r="I12" s="307"/>
      <c r="K12" s="32"/>
    </row>
    <row r="13" spans="1:11" x14ac:dyDescent="0.25">
      <c r="A13" s="298"/>
      <c r="B13" s="310"/>
      <c r="C13" s="509"/>
      <c r="D13" s="311"/>
      <c r="E13" s="312"/>
      <c r="F13" s="313" t="s">
        <v>419</v>
      </c>
      <c r="G13" s="580">
        <f>G12</f>
        <v>2300</v>
      </c>
      <c r="I13" s="307"/>
      <c r="K13" s="32"/>
    </row>
    <row r="14" spans="1:11" x14ac:dyDescent="0.25">
      <c r="A14" s="298"/>
      <c r="B14" s="675"/>
      <c r="C14" s="676"/>
      <c r="D14" s="677"/>
      <c r="E14" s="678" t="s">
        <v>840</v>
      </c>
      <c r="F14" s="679"/>
      <c r="G14" s="680"/>
      <c r="I14" s="307"/>
      <c r="K14" s="32"/>
    </row>
    <row r="15" spans="1:11" x14ac:dyDescent="0.25">
      <c r="A15" s="298"/>
      <c r="B15" s="310">
        <v>45896</v>
      </c>
      <c r="C15" s="246" t="s">
        <v>939</v>
      </c>
      <c r="D15" s="314" t="s">
        <v>940</v>
      </c>
      <c r="E15" s="309" t="s">
        <v>840</v>
      </c>
      <c r="F15" s="263" t="s">
        <v>973</v>
      </c>
      <c r="G15" s="681">
        <v>15623</v>
      </c>
      <c r="I15" s="307"/>
      <c r="K15" s="32"/>
    </row>
    <row r="16" spans="1:11" x14ac:dyDescent="0.25">
      <c r="A16" s="298"/>
      <c r="B16" s="310">
        <v>45898</v>
      </c>
      <c r="C16" s="246" t="s">
        <v>946</v>
      </c>
      <c r="D16" s="314" t="s">
        <v>947</v>
      </c>
      <c r="E16" s="309" t="s">
        <v>840</v>
      </c>
      <c r="F16" s="263" t="s">
        <v>973</v>
      </c>
      <c r="G16" s="681">
        <v>24780</v>
      </c>
      <c r="I16" s="307"/>
      <c r="K16" s="32"/>
    </row>
    <row r="17" spans="1:11" x14ac:dyDescent="0.25">
      <c r="A17" s="298"/>
      <c r="B17" s="310"/>
      <c r="C17" s="509"/>
      <c r="D17" s="311"/>
      <c r="E17" s="312"/>
      <c r="F17" s="313" t="s">
        <v>419</v>
      </c>
      <c r="G17" s="682">
        <f>G15+G16</f>
        <v>40403</v>
      </c>
      <c r="I17" s="307"/>
      <c r="K17" s="32"/>
    </row>
    <row r="18" spans="1:11" x14ac:dyDescent="0.25">
      <c r="A18" s="298"/>
      <c r="B18" s="683"/>
      <c r="C18" s="684"/>
      <c r="D18" s="315"/>
      <c r="E18" s="685" t="s">
        <v>648</v>
      </c>
      <c r="F18" s="686"/>
      <c r="G18" s="687"/>
      <c r="K18" s="32"/>
    </row>
    <row r="19" spans="1:11" x14ac:dyDescent="0.25">
      <c r="A19" s="298"/>
      <c r="B19" s="594">
        <v>45880</v>
      </c>
      <c r="C19" s="592" t="s">
        <v>836</v>
      </c>
      <c r="D19" s="316" t="s">
        <v>837</v>
      </c>
      <c r="E19" s="312" t="s">
        <v>648</v>
      </c>
      <c r="F19" s="688" t="s">
        <v>974</v>
      </c>
      <c r="G19" s="689">
        <v>73677.63</v>
      </c>
      <c r="I19" s="690"/>
      <c r="K19" s="32"/>
    </row>
    <row r="20" spans="1:11" x14ac:dyDescent="0.25">
      <c r="A20" s="298"/>
      <c r="B20" s="594">
        <v>45898</v>
      </c>
      <c r="C20" s="592" t="s">
        <v>948</v>
      </c>
      <c r="D20" s="652" t="s">
        <v>949</v>
      </c>
      <c r="E20" s="312" t="s">
        <v>648</v>
      </c>
      <c r="F20" s="688" t="s">
        <v>975</v>
      </c>
      <c r="G20" s="689">
        <v>14815.01</v>
      </c>
      <c r="I20" s="690"/>
      <c r="K20" s="32"/>
    </row>
    <row r="21" spans="1:11" ht="16.5" thickBot="1" x14ac:dyDescent="0.3">
      <c r="A21" s="298"/>
      <c r="B21" s="691"/>
      <c r="C21" s="692"/>
      <c r="D21" s="693"/>
      <c r="E21" s="694"/>
      <c r="F21" s="695" t="s">
        <v>419</v>
      </c>
      <c r="G21" s="696">
        <f>SUM(G19:G20)</f>
        <v>88492.64</v>
      </c>
      <c r="K21" s="32"/>
    </row>
    <row r="22" spans="1:11" x14ac:dyDescent="0.25">
      <c r="A22" s="298"/>
      <c r="B22" s="595"/>
      <c r="C22" s="513"/>
      <c r="D22" s="596"/>
      <c r="E22" s="597" t="s">
        <v>278</v>
      </c>
      <c r="F22" s="323"/>
      <c r="G22" s="324"/>
      <c r="K22" s="32"/>
    </row>
    <row r="23" spans="1:11" x14ac:dyDescent="0.25">
      <c r="A23" s="298"/>
      <c r="B23" s="594">
        <v>45861</v>
      </c>
      <c r="C23" s="598"/>
      <c r="D23" s="316">
        <v>29688</v>
      </c>
      <c r="E23" s="312" t="s">
        <v>278</v>
      </c>
      <c r="F23" s="312" t="s">
        <v>650</v>
      </c>
      <c r="G23" s="584">
        <v>3675</v>
      </c>
      <c r="K23" s="32"/>
    </row>
    <row r="24" spans="1:11" x14ac:dyDescent="0.25">
      <c r="A24" s="298"/>
      <c r="B24" s="594">
        <v>45867</v>
      </c>
      <c r="C24" s="598"/>
      <c r="D24" s="316">
        <v>29965</v>
      </c>
      <c r="E24" s="312" t="s">
        <v>278</v>
      </c>
      <c r="F24" s="312" t="s">
        <v>650</v>
      </c>
      <c r="G24" s="584">
        <v>4300</v>
      </c>
      <c r="K24" s="32"/>
    </row>
    <row r="25" spans="1:11" x14ac:dyDescent="0.25">
      <c r="A25" s="298"/>
      <c r="B25" s="594">
        <v>45875</v>
      </c>
      <c r="C25" s="598"/>
      <c r="D25" s="316">
        <v>29984</v>
      </c>
      <c r="E25" s="312" t="s">
        <v>278</v>
      </c>
      <c r="F25" s="312" t="s">
        <v>650</v>
      </c>
      <c r="G25" s="584">
        <v>3450</v>
      </c>
      <c r="K25" s="32"/>
    </row>
    <row r="26" spans="1:11" x14ac:dyDescent="0.25">
      <c r="A26" s="298"/>
      <c r="B26" s="594">
        <v>45882</v>
      </c>
      <c r="C26" s="598"/>
      <c r="D26" s="316">
        <v>30061</v>
      </c>
      <c r="E26" s="312" t="s">
        <v>278</v>
      </c>
      <c r="F26" s="312" t="s">
        <v>650</v>
      </c>
      <c r="G26" s="584">
        <v>3495</v>
      </c>
      <c r="K26" s="32"/>
    </row>
    <row r="27" spans="1:11" x14ac:dyDescent="0.25">
      <c r="A27" s="298"/>
      <c r="B27" s="594">
        <v>45889</v>
      </c>
      <c r="C27" s="598"/>
      <c r="D27" s="316">
        <v>30080</v>
      </c>
      <c r="E27" s="312" t="s">
        <v>278</v>
      </c>
      <c r="F27" s="312" t="s">
        <v>650</v>
      </c>
      <c r="G27" s="584">
        <v>4665</v>
      </c>
      <c r="K27" s="32"/>
    </row>
    <row r="28" spans="1:11" x14ac:dyDescent="0.25">
      <c r="A28" s="298"/>
      <c r="B28" s="594">
        <v>45896</v>
      </c>
      <c r="C28" s="598"/>
      <c r="D28" s="316">
        <v>30303</v>
      </c>
      <c r="E28" s="312" t="s">
        <v>278</v>
      </c>
      <c r="F28" s="312" t="s">
        <v>650</v>
      </c>
      <c r="G28" s="584">
        <v>4050</v>
      </c>
      <c r="K28" s="32"/>
    </row>
    <row r="29" spans="1:11" x14ac:dyDescent="0.25">
      <c r="A29" s="298"/>
      <c r="B29" s="594">
        <v>45899</v>
      </c>
      <c r="C29" s="598"/>
      <c r="D29" s="316">
        <v>30312</v>
      </c>
      <c r="E29" s="312" t="s">
        <v>278</v>
      </c>
      <c r="F29" s="312" t="s">
        <v>650</v>
      </c>
      <c r="G29" s="584">
        <v>1200</v>
      </c>
      <c r="K29" s="32"/>
    </row>
    <row r="30" spans="1:11" x14ac:dyDescent="0.25">
      <c r="A30" s="298"/>
      <c r="B30" s="317"/>
      <c r="C30" s="9"/>
      <c r="D30" s="316"/>
      <c r="E30" s="11"/>
      <c r="F30" s="322" t="s">
        <v>419</v>
      </c>
      <c r="G30" s="325">
        <f>SUM(G23:G29)</f>
        <v>24835</v>
      </c>
      <c r="K30" s="32"/>
    </row>
    <row r="31" spans="1:11" x14ac:dyDescent="0.25">
      <c r="A31" s="298"/>
      <c r="B31" s="697"/>
      <c r="C31" s="514"/>
      <c r="D31" s="329"/>
      <c r="E31" s="698" t="s">
        <v>709</v>
      </c>
      <c r="F31" s="330"/>
      <c r="G31" s="331"/>
      <c r="K31" s="32"/>
    </row>
    <row r="32" spans="1:11" x14ac:dyDescent="0.25">
      <c r="A32" s="298"/>
      <c r="B32" s="699">
        <v>45894</v>
      </c>
      <c r="C32" s="592" t="s">
        <v>910</v>
      </c>
      <c r="D32" s="700" t="s">
        <v>911</v>
      </c>
      <c r="E32" s="234" t="s">
        <v>709</v>
      </c>
      <c r="F32" s="701" t="s">
        <v>976</v>
      </c>
      <c r="G32" s="702">
        <v>14900</v>
      </c>
      <c r="K32" s="32"/>
    </row>
    <row r="33" spans="1:11" x14ac:dyDescent="0.25">
      <c r="A33" s="298"/>
      <c r="B33" s="699"/>
      <c r="C33" s="515"/>
      <c r="D33" s="314"/>
      <c r="E33" s="703"/>
      <c r="F33" s="322" t="s">
        <v>419</v>
      </c>
      <c r="G33" s="325">
        <f>+G32</f>
        <v>14900</v>
      </c>
      <c r="K33" s="32"/>
    </row>
    <row r="34" spans="1:11" ht="15.75" x14ac:dyDescent="0.25">
      <c r="A34" s="298"/>
      <c r="B34" s="599"/>
      <c r="C34" s="600"/>
      <c r="D34" s="704"/>
      <c r="E34" s="602" t="s">
        <v>898</v>
      </c>
      <c r="F34" s="705"/>
      <c r="G34" s="706"/>
      <c r="I34" s="307"/>
    </row>
    <row r="35" spans="1:11" ht="15.75" x14ac:dyDescent="0.25">
      <c r="A35" s="298"/>
      <c r="B35" s="317">
        <v>45889</v>
      </c>
      <c r="C35" s="592" t="s">
        <v>896</v>
      </c>
      <c r="D35" s="316" t="s">
        <v>897</v>
      </c>
      <c r="E35" s="336" t="s">
        <v>898</v>
      </c>
      <c r="F35" s="312" t="s">
        <v>977</v>
      </c>
      <c r="G35" s="707">
        <v>26066.2</v>
      </c>
      <c r="I35" s="307"/>
    </row>
    <row r="36" spans="1:11" ht="15.75" x14ac:dyDescent="0.25">
      <c r="A36" s="298"/>
      <c r="B36" s="318"/>
      <c r="C36" s="9"/>
      <c r="D36" s="316"/>
      <c r="E36" s="11"/>
      <c r="F36" s="322" t="s">
        <v>419</v>
      </c>
      <c r="G36" s="319">
        <f>G35</f>
        <v>26066.2</v>
      </c>
      <c r="I36" s="307"/>
    </row>
    <row r="37" spans="1:11" ht="15.75" hidden="1" x14ac:dyDescent="0.25">
      <c r="A37" s="298"/>
      <c r="B37" s="708"/>
      <c r="C37" s="709"/>
      <c r="D37" s="710"/>
      <c r="E37" s="711" t="s">
        <v>978</v>
      </c>
      <c r="F37" s="712"/>
      <c r="G37" s="713"/>
      <c r="I37" s="307"/>
    </row>
    <row r="38" spans="1:11" ht="15.75" hidden="1" x14ac:dyDescent="0.25">
      <c r="A38" s="298"/>
      <c r="B38" s="317"/>
      <c r="C38" s="610"/>
      <c r="D38" s="316"/>
      <c r="E38" s="336" t="s">
        <v>979</v>
      </c>
      <c r="F38" s="312" t="s">
        <v>980</v>
      </c>
      <c r="G38" s="714">
        <v>0</v>
      </c>
      <c r="I38" s="307"/>
    </row>
    <row r="39" spans="1:11" ht="15.75" hidden="1" x14ac:dyDescent="0.25">
      <c r="A39" s="298"/>
      <c r="B39" s="317"/>
      <c r="C39" s="246"/>
      <c r="D39" s="316"/>
      <c r="E39" s="336" t="s">
        <v>979</v>
      </c>
      <c r="F39" s="312" t="s">
        <v>980</v>
      </c>
      <c r="G39" s="714">
        <v>0</v>
      </c>
      <c r="I39" s="307"/>
    </row>
    <row r="40" spans="1:11" ht="15.75" hidden="1" x14ac:dyDescent="0.25">
      <c r="A40" s="298"/>
      <c r="B40" s="318"/>
      <c r="C40" s="9"/>
      <c r="D40" s="316"/>
      <c r="E40" s="11"/>
      <c r="F40" s="322" t="s">
        <v>419</v>
      </c>
      <c r="G40" s="319">
        <f>G38+G39</f>
        <v>0</v>
      </c>
      <c r="I40" s="307"/>
    </row>
    <row r="41" spans="1:11" ht="15.75" hidden="1" x14ac:dyDescent="0.25">
      <c r="A41" s="298"/>
      <c r="B41" s="715"/>
      <c r="C41" s="716"/>
      <c r="D41" s="717"/>
      <c r="E41" s="532" t="s">
        <v>981</v>
      </c>
      <c r="F41" s="718"/>
      <c r="G41" s="719"/>
      <c r="I41" s="307"/>
    </row>
    <row r="42" spans="1:11" hidden="1" x14ac:dyDescent="0.25">
      <c r="A42" s="298"/>
      <c r="B42" s="720"/>
      <c r="C42" s="721"/>
      <c r="D42" s="316"/>
      <c r="E42" s="321" t="s">
        <v>981</v>
      </c>
      <c r="F42" s="250" t="s">
        <v>982</v>
      </c>
      <c r="G42" s="337">
        <v>0</v>
      </c>
      <c r="I42" s="307"/>
    </row>
    <row r="43" spans="1:11" ht="15.75" hidden="1" x14ac:dyDescent="0.25">
      <c r="A43" s="298"/>
      <c r="B43" s="318"/>
      <c r="C43" s="9"/>
      <c r="D43" s="316"/>
      <c r="E43" s="11"/>
      <c r="F43" s="322" t="s">
        <v>419</v>
      </c>
      <c r="G43" s="319">
        <f>+G42</f>
        <v>0</v>
      </c>
      <c r="I43" s="307"/>
    </row>
    <row r="44" spans="1:11" hidden="1" x14ac:dyDescent="0.25">
      <c r="A44" s="298"/>
      <c r="B44" s="722"/>
      <c r="C44" s="525"/>
      <c r="D44" s="723"/>
      <c r="E44" s="724" t="s">
        <v>983</v>
      </c>
      <c r="F44" s="725"/>
      <c r="G44" s="726"/>
      <c r="I44" s="307"/>
    </row>
    <row r="45" spans="1:11" hidden="1" x14ac:dyDescent="0.25">
      <c r="A45" s="298"/>
      <c r="B45" s="720"/>
      <c r="C45" s="326"/>
      <c r="D45" s="316"/>
      <c r="E45" s="321" t="s">
        <v>983</v>
      </c>
      <c r="F45" s="250" t="s">
        <v>984</v>
      </c>
      <c r="G45" s="337">
        <v>0</v>
      </c>
      <c r="I45" s="307"/>
    </row>
    <row r="46" spans="1:11" ht="15.75" hidden="1" x14ac:dyDescent="0.25">
      <c r="A46" s="298"/>
      <c r="B46" s="318"/>
      <c r="C46" s="9"/>
      <c r="D46" s="316"/>
      <c r="E46" s="11"/>
      <c r="F46" s="322" t="s">
        <v>419</v>
      </c>
      <c r="G46" s="319">
        <f>G45</f>
        <v>0</v>
      </c>
      <c r="I46" s="307"/>
    </row>
    <row r="47" spans="1:11" ht="15.75" hidden="1" x14ac:dyDescent="0.25">
      <c r="A47" s="298"/>
      <c r="B47" s="727"/>
      <c r="C47" s="728"/>
      <c r="D47" s="729"/>
      <c r="E47" s="730" t="s">
        <v>985</v>
      </c>
      <c r="F47" s="731"/>
      <c r="G47" s="732"/>
      <c r="I47" s="307"/>
    </row>
    <row r="48" spans="1:11" ht="15.75" hidden="1" x14ac:dyDescent="0.25">
      <c r="A48" s="298"/>
      <c r="B48" s="317"/>
      <c r="C48" s="592"/>
      <c r="D48" s="314"/>
      <c r="E48" s="336" t="s">
        <v>985</v>
      </c>
      <c r="F48" s="701" t="s">
        <v>986</v>
      </c>
      <c r="G48" s="505">
        <v>0</v>
      </c>
      <c r="I48" s="307"/>
    </row>
    <row r="49" spans="1:14" ht="15.75" hidden="1" x14ac:dyDescent="0.25">
      <c r="A49" s="298"/>
      <c r="B49" s="318"/>
      <c r="C49" s="9"/>
      <c r="D49" s="316"/>
      <c r="E49" s="11"/>
      <c r="F49" s="322" t="s">
        <v>419</v>
      </c>
      <c r="G49" s="319">
        <f>G48</f>
        <v>0</v>
      </c>
      <c r="I49" s="307"/>
    </row>
    <row r="50" spans="1:14" x14ac:dyDescent="0.25">
      <c r="A50" s="298"/>
      <c r="B50" s="683"/>
      <c r="C50" s="531"/>
      <c r="D50" s="733"/>
      <c r="E50" s="734" t="s">
        <v>987</v>
      </c>
      <c r="F50" s="735"/>
      <c r="G50" s="736"/>
    </row>
    <row r="51" spans="1:14" x14ac:dyDescent="0.25">
      <c r="A51" s="298"/>
      <c r="B51" s="317">
        <v>45890</v>
      </c>
      <c r="C51" s="246" t="s">
        <v>920</v>
      </c>
      <c r="D51" s="227" t="s">
        <v>921</v>
      </c>
      <c r="E51" s="321" t="s">
        <v>987</v>
      </c>
      <c r="F51" s="321" t="s">
        <v>427</v>
      </c>
      <c r="G51" s="354">
        <v>21073</v>
      </c>
    </row>
    <row r="52" spans="1:14" ht="15.75" x14ac:dyDescent="0.25">
      <c r="A52" s="298"/>
      <c r="B52" s="318"/>
      <c r="C52" s="9"/>
      <c r="D52" s="316"/>
      <c r="E52" s="11"/>
      <c r="F52" s="322" t="s">
        <v>419</v>
      </c>
      <c r="G52" s="319">
        <f>G51</f>
        <v>21073</v>
      </c>
    </row>
    <row r="53" spans="1:14" x14ac:dyDescent="0.25">
      <c r="A53" s="298"/>
      <c r="B53" s="341"/>
      <c r="C53" s="516"/>
      <c r="D53" s="343"/>
      <c r="E53" s="344" t="s">
        <v>283</v>
      </c>
      <c r="F53" s="342"/>
      <c r="G53" s="345"/>
    </row>
    <row r="54" spans="1:14" x14ac:dyDescent="0.25">
      <c r="A54" s="298"/>
      <c r="B54" s="317">
        <v>43861</v>
      </c>
      <c r="C54" s="517" t="s">
        <v>424</v>
      </c>
      <c r="D54" s="316" t="s">
        <v>424</v>
      </c>
      <c r="E54" s="312" t="s">
        <v>283</v>
      </c>
      <c r="F54" s="312" t="s">
        <v>426</v>
      </c>
      <c r="G54" s="346">
        <v>27356.25</v>
      </c>
    </row>
    <row r="55" spans="1:14" x14ac:dyDescent="0.25">
      <c r="A55" s="298"/>
      <c r="B55" s="317">
        <v>43921</v>
      </c>
      <c r="C55" s="517" t="s">
        <v>424</v>
      </c>
      <c r="D55" s="316" t="s">
        <v>424</v>
      </c>
      <c r="E55" s="312" t="s">
        <v>283</v>
      </c>
      <c r="F55" s="312" t="s">
        <v>426</v>
      </c>
      <c r="G55" s="346">
        <v>25788</v>
      </c>
    </row>
    <row r="56" spans="1:14" x14ac:dyDescent="0.25">
      <c r="A56" s="298"/>
      <c r="B56" s="317">
        <v>43951</v>
      </c>
      <c r="C56" s="517" t="s">
        <v>424</v>
      </c>
      <c r="D56" s="316" t="s">
        <v>424</v>
      </c>
      <c r="E56" s="312" t="s">
        <v>283</v>
      </c>
      <c r="F56" s="312" t="s">
        <v>426</v>
      </c>
      <c r="G56" s="346">
        <v>8977</v>
      </c>
    </row>
    <row r="57" spans="1:14" ht="15.75" x14ac:dyDescent="0.25">
      <c r="A57" s="298"/>
      <c r="B57" s="318"/>
      <c r="C57" s="9"/>
      <c r="D57" s="316"/>
      <c r="E57" s="11"/>
      <c r="F57" s="322" t="s">
        <v>419</v>
      </c>
      <c r="G57" s="319">
        <f>G54+G55+G56</f>
        <v>62121.25</v>
      </c>
    </row>
    <row r="58" spans="1:14" x14ac:dyDescent="0.25">
      <c r="A58" s="298"/>
      <c r="B58" s="485"/>
      <c r="C58" s="518"/>
      <c r="D58" s="487"/>
      <c r="E58" s="488" t="s">
        <v>285</v>
      </c>
      <c r="F58" s="486"/>
      <c r="G58" s="489"/>
    </row>
    <row r="59" spans="1:14" x14ac:dyDescent="0.25">
      <c r="A59" s="298"/>
      <c r="B59" s="317">
        <v>45900</v>
      </c>
      <c r="C59" s="246"/>
      <c r="D59" s="321" t="s">
        <v>428</v>
      </c>
      <c r="E59" s="321" t="s">
        <v>285</v>
      </c>
      <c r="F59" s="321" t="s">
        <v>568</v>
      </c>
      <c r="G59" s="581">
        <f>707940-2800</f>
        <v>705140</v>
      </c>
    </row>
    <row r="60" spans="1:14" x14ac:dyDescent="0.25">
      <c r="A60" s="298"/>
      <c r="B60" s="318"/>
      <c r="C60" s="9"/>
      <c r="D60" s="321"/>
      <c r="E60" s="11"/>
      <c r="F60" s="322" t="s">
        <v>698</v>
      </c>
      <c r="G60" s="332">
        <f>SUM(G59)</f>
        <v>705140</v>
      </c>
      <c r="I60" s="307"/>
      <c r="L60" s="32"/>
      <c r="M60" s="32"/>
      <c r="N60" s="32"/>
    </row>
    <row r="61" spans="1:14" x14ac:dyDescent="0.25">
      <c r="A61" s="298"/>
      <c r="B61" s="349"/>
      <c r="C61" s="519"/>
      <c r="D61" s="351"/>
      <c r="E61" s="352" t="s">
        <v>287</v>
      </c>
      <c r="F61" s="350"/>
      <c r="G61" s="353"/>
    </row>
    <row r="62" spans="1:14" x14ac:dyDescent="0.25">
      <c r="A62" s="298"/>
      <c r="B62" s="317">
        <v>43159</v>
      </c>
      <c r="C62" s="520" t="s">
        <v>429</v>
      </c>
      <c r="D62" s="316">
        <v>11500027846</v>
      </c>
      <c r="E62" s="321" t="s">
        <v>287</v>
      </c>
      <c r="F62" s="321" t="s">
        <v>430</v>
      </c>
      <c r="G62" s="354">
        <v>4480</v>
      </c>
    </row>
    <row r="63" spans="1:14" x14ac:dyDescent="0.25">
      <c r="A63" s="298"/>
      <c r="B63" s="317">
        <v>43160</v>
      </c>
      <c r="C63" s="520" t="s">
        <v>431</v>
      </c>
      <c r="D63" s="316">
        <v>11500027860</v>
      </c>
      <c r="E63" s="321" t="s">
        <v>287</v>
      </c>
      <c r="F63" s="321" t="s">
        <v>432</v>
      </c>
      <c r="G63" s="354">
        <v>1524</v>
      </c>
    </row>
    <row r="64" spans="1:14" x14ac:dyDescent="0.25">
      <c r="A64" s="298"/>
      <c r="B64" s="317">
        <v>43339</v>
      </c>
      <c r="C64" s="520" t="s">
        <v>433</v>
      </c>
      <c r="D64" s="316">
        <v>11500012858</v>
      </c>
      <c r="E64" s="321" t="s">
        <v>287</v>
      </c>
      <c r="F64" s="321" t="s">
        <v>434</v>
      </c>
      <c r="G64" s="354">
        <v>830</v>
      </c>
    </row>
    <row r="65" spans="1:9" x14ac:dyDescent="0.25">
      <c r="A65" s="298"/>
      <c r="B65" s="317">
        <v>43356</v>
      </c>
      <c r="C65" s="520" t="s">
        <v>435</v>
      </c>
      <c r="D65" s="316">
        <v>11500012868</v>
      </c>
      <c r="E65" s="321" t="s">
        <v>287</v>
      </c>
      <c r="F65" s="321" t="s">
        <v>430</v>
      </c>
      <c r="G65" s="354">
        <v>1120</v>
      </c>
    </row>
    <row r="66" spans="1:9" x14ac:dyDescent="0.25">
      <c r="A66" s="298"/>
      <c r="B66" s="317">
        <v>43473</v>
      </c>
      <c r="C66" s="520" t="s">
        <v>436</v>
      </c>
      <c r="D66" s="316" t="s">
        <v>437</v>
      </c>
      <c r="E66" s="321" t="s">
        <v>287</v>
      </c>
      <c r="F66" s="321" t="s">
        <v>434</v>
      </c>
      <c r="G66" s="354">
        <v>1280</v>
      </c>
    </row>
    <row r="67" spans="1:9" ht="15.75" x14ac:dyDescent="0.25">
      <c r="A67" s="298"/>
      <c r="B67" s="318"/>
      <c r="C67" s="9"/>
      <c r="D67" s="316"/>
      <c r="E67" s="11"/>
      <c r="F67" s="322" t="s">
        <v>419</v>
      </c>
      <c r="G67" s="319">
        <f>G62+G63+G64+G65+G66</f>
        <v>9234</v>
      </c>
    </row>
    <row r="68" spans="1:9" x14ac:dyDescent="0.25">
      <c r="A68" s="298"/>
      <c r="B68" s="355"/>
      <c r="C68" s="514"/>
      <c r="D68" s="329"/>
      <c r="E68" s="356" t="s">
        <v>288</v>
      </c>
      <c r="F68" s="330"/>
      <c r="G68" s="331"/>
    </row>
    <row r="69" spans="1:9" x14ac:dyDescent="0.25">
      <c r="A69" s="298"/>
      <c r="B69" s="317">
        <v>41586</v>
      </c>
      <c r="C69" s="520" t="s">
        <v>424</v>
      </c>
      <c r="D69" s="316">
        <v>11500000335</v>
      </c>
      <c r="E69" s="321" t="s">
        <v>288</v>
      </c>
      <c r="F69" s="321" t="s">
        <v>438</v>
      </c>
      <c r="G69" s="354">
        <v>8000</v>
      </c>
    </row>
    <row r="70" spans="1:9" x14ac:dyDescent="0.25">
      <c r="A70" s="298"/>
      <c r="B70" s="318"/>
      <c r="C70" s="9"/>
      <c r="D70" s="316"/>
      <c r="E70" s="11"/>
      <c r="F70" s="322" t="s">
        <v>419</v>
      </c>
      <c r="G70" s="332">
        <f>G69</f>
        <v>8000</v>
      </c>
    </row>
    <row r="71" spans="1:9" x14ac:dyDescent="0.25">
      <c r="A71" s="298"/>
      <c r="B71" s="355"/>
      <c r="C71" s="514"/>
      <c r="D71" s="329"/>
      <c r="E71" s="356" t="s">
        <v>573</v>
      </c>
      <c r="F71" s="330"/>
      <c r="G71" s="331"/>
    </row>
    <row r="72" spans="1:9" x14ac:dyDescent="0.25">
      <c r="A72" s="298"/>
      <c r="B72" s="317">
        <v>45597</v>
      </c>
      <c r="C72" s="504" t="s">
        <v>569</v>
      </c>
      <c r="D72" s="316" t="s">
        <v>570</v>
      </c>
      <c r="E72" s="321" t="s">
        <v>573</v>
      </c>
      <c r="F72" s="321" t="s">
        <v>574</v>
      </c>
      <c r="G72" s="354">
        <v>135582</v>
      </c>
    </row>
    <row r="73" spans="1:9" x14ac:dyDescent="0.25">
      <c r="A73" s="298"/>
      <c r="B73" s="318"/>
      <c r="C73" s="9"/>
      <c r="D73" s="316"/>
      <c r="E73" s="11"/>
      <c r="F73" s="322" t="s">
        <v>419</v>
      </c>
      <c r="G73" s="332">
        <f>G72</f>
        <v>135582</v>
      </c>
    </row>
    <row r="74" spans="1:9" x14ac:dyDescent="0.25">
      <c r="A74" s="298"/>
      <c r="B74" s="357"/>
      <c r="C74" s="513"/>
      <c r="D74" s="358"/>
      <c r="E74" s="359" t="s">
        <v>290</v>
      </c>
      <c r="F74" s="323"/>
      <c r="G74" s="324"/>
    </row>
    <row r="75" spans="1:9" x14ac:dyDescent="0.25">
      <c r="A75" s="298"/>
      <c r="B75" s="335">
        <v>42313</v>
      </c>
      <c r="C75" s="326" t="s">
        <v>439</v>
      </c>
      <c r="D75" s="314">
        <v>21500000299</v>
      </c>
      <c r="E75" s="249" t="s">
        <v>290</v>
      </c>
      <c r="F75" s="304" t="s">
        <v>440</v>
      </c>
      <c r="G75" s="305">
        <v>4720</v>
      </c>
    </row>
    <row r="76" spans="1:9" x14ac:dyDescent="0.25">
      <c r="A76" s="298"/>
      <c r="B76" s="335">
        <v>42481</v>
      </c>
      <c r="C76" s="326" t="s">
        <v>441</v>
      </c>
      <c r="D76" s="314">
        <v>20100009475</v>
      </c>
      <c r="E76" s="249" t="s">
        <v>290</v>
      </c>
      <c r="F76" s="304" t="s">
        <v>442</v>
      </c>
      <c r="G76" s="305">
        <v>5900</v>
      </c>
    </row>
    <row r="77" spans="1:9" x14ac:dyDescent="0.25">
      <c r="A77" s="298"/>
      <c r="B77" s="335">
        <v>42556</v>
      </c>
      <c r="C77" s="326" t="s">
        <v>443</v>
      </c>
      <c r="D77" s="314">
        <v>20100010199</v>
      </c>
      <c r="E77" s="249" t="s">
        <v>290</v>
      </c>
      <c r="F77" s="304" t="s">
        <v>440</v>
      </c>
      <c r="G77" s="305">
        <v>13452</v>
      </c>
    </row>
    <row r="78" spans="1:9" ht="15.75" x14ac:dyDescent="0.25">
      <c r="A78" s="298"/>
      <c r="B78" s="335">
        <v>42612</v>
      </c>
      <c r="C78" s="326" t="s">
        <v>444</v>
      </c>
      <c r="D78" s="314">
        <v>21500000363</v>
      </c>
      <c r="E78" s="249" t="s">
        <v>290</v>
      </c>
      <c r="F78" s="304" t="s">
        <v>440</v>
      </c>
      <c r="G78" s="305">
        <v>13216</v>
      </c>
      <c r="H78" s="360"/>
    </row>
    <row r="79" spans="1:9" x14ac:dyDescent="0.25">
      <c r="A79" s="298"/>
      <c r="B79" s="335">
        <v>42746</v>
      </c>
      <c r="C79" s="326" t="s">
        <v>445</v>
      </c>
      <c r="D79" s="314">
        <v>20100011861</v>
      </c>
      <c r="E79" s="249" t="s">
        <v>290</v>
      </c>
      <c r="F79" s="304" t="s">
        <v>440</v>
      </c>
      <c r="G79" s="305">
        <v>6372</v>
      </c>
    </row>
    <row r="80" spans="1:9" x14ac:dyDescent="0.25">
      <c r="A80" s="298"/>
      <c r="B80" s="335"/>
      <c r="C80" s="507"/>
      <c r="D80" s="314"/>
      <c r="E80" s="361"/>
      <c r="F80" s="322" t="s">
        <v>419</v>
      </c>
      <c r="G80" s="332">
        <f>G75+G76+G77+G78+G79</f>
        <v>43660</v>
      </c>
      <c r="I80" s="32"/>
    </row>
    <row r="81" spans="1:8" x14ac:dyDescent="0.25">
      <c r="A81" s="298"/>
      <c r="B81" s="378"/>
      <c r="C81" s="521"/>
      <c r="D81" s="379"/>
      <c r="E81" s="380" t="s">
        <v>346</v>
      </c>
      <c r="F81" s="373"/>
      <c r="G81" s="374"/>
    </row>
    <row r="82" spans="1:8" x14ac:dyDescent="0.25">
      <c r="A82" s="298"/>
      <c r="B82" s="335">
        <v>45000</v>
      </c>
      <c r="C82" s="326" t="s">
        <v>446</v>
      </c>
      <c r="D82" s="314" t="s">
        <v>447</v>
      </c>
      <c r="E82" s="336" t="s">
        <v>346</v>
      </c>
      <c r="F82" s="228" t="s">
        <v>448</v>
      </c>
      <c r="G82" s="327">
        <v>47790</v>
      </c>
    </row>
    <row r="83" spans="1:8" ht="15.75" x14ac:dyDescent="0.25">
      <c r="A83" s="298"/>
      <c r="B83" s="335"/>
      <c r="C83" s="515"/>
      <c r="D83" s="304"/>
      <c r="E83" s="364"/>
      <c r="F83" s="377" t="s">
        <v>419</v>
      </c>
      <c r="G83" s="362">
        <f>G82</f>
        <v>47790</v>
      </c>
    </row>
    <row r="84" spans="1:8" x14ac:dyDescent="0.25">
      <c r="A84" s="298"/>
      <c r="B84" s="383"/>
      <c r="C84" s="522"/>
      <c r="D84" s="385"/>
      <c r="E84" s="386" t="s">
        <v>292</v>
      </c>
      <c r="F84" s="384"/>
      <c r="G84" s="387"/>
    </row>
    <row r="85" spans="1:8" x14ac:dyDescent="0.25">
      <c r="A85" s="298"/>
      <c r="B85" s="375">
        <v>43856</v>
      </c>
      <c r="C85" s="515" t="s">
        <v>424</v>
      </c>
      <c r="D85" s="304" t="s">
        <v>424</v>
      </c>
      <c r="E85" s="368" t="s">
        <v>292</v>
      </c>
      <c r="F85" s="328" t="s">
        <v>449</v>
      </c>
      <c r="G85" s="363">
        <v>2366</v>
      </c>
    </row>
    <row r="86" spans="1:8" ht="15.75" x14ac:dyDescent="0.25">
      <c r="A86" s="298"/>
      <c r="B86" s="376"/>
      <c r="C86" s="515"/>
      <c r="D86" s="304"/>
      <c r="E86" s="364"/>
      <c r="F86" s="377" t="s">
        <v>419</v>
      </c>
      <c r="G86" s="362">
        <f>G85</f>
        <v>2366</v>
      </c>
    </row>
    <row r="87" spans="1:8" x14ac:dyDescent="0.25">
      <c r="A87" s="298"/>
      <c r="B87" s="638"/>
      <c r="C87" s="639"/>
      <c r="D87" s="640"/>
      <c r="E87" s="641" t="s">
        <v>725</v>
      </c>
      <c r="F87" s="642"/>
      <c r="G87" s="643"/>
    </row>
    <row r="88" spans="1:8" x14ac:dyDescent="0.25">
      <c r="A88" s="298"/>
      <c r="B88" s="335">
        <v>45895</v>
      </c>
      <c r="C88" s="246" t="s">
        <v>926</v>
      </c>
      <c r="D88" s="314" t="s">
        <v>880</v>
      </c>
      <c r="E88" s="336" t="s">
        <v>725</v>
      </c>
      <c r="F88" s="203" t="s">
        <v>434</v>
      </c>
      <c r="G88" s="644">
        <v>1282.1099999999999</v>
      </c>
    </row>
    <row r="89" spans="1:8" x14ac:dyDescent="0.25">
      <c r="A89" s="298"/>
      <c r="B89" s="335">
        <v>45894</v>
      </c>
      <c r="C89" s="246" t="s">
        <v>937</v>
      </c>
      <c r="D89" s="304" t="s">
        <v>938</v>
      </c>
      <c r="E89" s="336" t="s">
        <v>725</v>
      </c>
      <c r="F89" s="203" t="s">
        <v>434</v>
      </c>
      <c r="G89" s="737">
        <v>7215</v>
      </c>
    </row>
    <row r="90" spans="1:8" x14ac:dyDescent="0.25">
      <c r="A90" s="298"/>
      <c r="B90" s="335"/>
      <c r="C90" s="515"/>
      <c r="D90" s="304"/>
      <c r="E90" s="364"/>
      <c r="F90" s="322" t="s">
        <v>419</v>
      </c>
      <c r="G90" s="325">
        <f>SUM(G88:G89)</f>
        <v>8497.11</v>
      </c>
      <c r="H90" t="s">
        <v>732</v>
      </c>
    </row>
    <row r="91" spans="1:8" x14ac:dyDescent="0.25">
      <c r="A91" s="298"/>
      <c r="B91" s="390"/>
      <c r="C91" s="523"/>
      <c r="D91" s="391"/>
      <c r="E91" s="392" t="s">
        <v>577</v>
      </c>
      <c r="F91" s="393"/>
      <c r="G91" s="506"/>
    </row>
    <row r="92" spans="1:8" x14ac:dyDescent="0.25">
      <c r="A92" s="298"/>
      <c r="B92" s="335">
        <v>45644</v>
      </c>
      <c r="C92" s="507" t="s">
        <v>575</v>
      </c>
      <c r="D92" s="320" t="s">
        <v>576</v>
      </c>
      <c r="E92" s="361" t="s">
        <v>577</v>
      </c>
      <c r="F92" s="322" t="s">
        <v>583</v>
      </c>
      <c r="G92" s="325">
        <f>649547.52-324773.76</f>
        <v>324773.76000000001</v>
      </c>
    </row>
    <row r="93" spans="1:8" x14ac:dyDescent="0.25">
      <c r="A93" s="298"/>
      <c r="B93" s="335"/>
      <c r="C93" s="507"/>
      <c r="D93" s="304"/>
      <c r="E93" s="361"/>
      <c r="F93" s="322" t="s">
        <v>419</v>
      </c>
      <c r="G93" s="332">
        <f>G92</f>
        <v>324773.76000000001</v>
      </c>
    </row>
    <row r="94" spans="1:8" x14ac:dyDescent="0.25">
      <c r="A94" s="298"/>
      <c r="B94" s="394"/>
      <c r="C94" s="524"/>
      <c r="D94" s="395"/>
      <c r="E94" s="396" t="s">
        <v>294</v>
      </c>
      <c r="F94" s="397"/>
      <c r="G94" s="398"/>
    </row>
    <row r="95" spans="1:8" x14ac:dyDescent="0.25">
      <c r="A95" s="298"/>
      <c r="B95" s="335">
        <v>43746</v>
      </c>
      <c r="C95" s="507" t="s">
        <v>450</v>
      </c>
      <c r="D95" s="314" t="s">
        <v>451</v>
      </c>
      <c r="E95" s="336" t="s">
        <v>294</v>
      </c>
      <c r="F95" s="203" t="s">
        <v>448</v>
      </c>
      <c r="G95" s="389">
        <v>26666.94</v>
      </c>
    </row>
    <row r="96" spans="1:8" x14ac:dyDescent="0.25">
      <c r="A96" s="298"/>
      <c r="B96" s="335">
        <v>43777</v>
      </c>
      <c r="C96" s="507" t="s">
        <v>452</v>
      </c>
      <c r="D96" s="314" t="s">
        <v>453</v>
      </c>
      <c r="E96" s="336" t="s">
        <v>294</v>
      </c>
      <c r="F96" s="203" t="s">
        <v>448</v>
      </c>
      <c r="G96" s="389">
        <v>17464</v>
      </c>
    </row>
    <row r="97" spans="1:8" x14ac:dyDescent="0.25">
      <c r="A97" s="298"/>
      <c r="B97" s="335">
        <v>43809</v>
      </c>
      <c r="C97" s="507" t="s">
        <v>454</v>
      </c>
      <c r="D97" s="314" t="s">
        <v>455</v>
      </c>
      <c r="E97" s="336" t="s">
        <v>294</v>
      </c>
      <c r="F97" s="203" t="s">
        <v>448</v>
      </c>
      <c r="G97" s="389">
        <v>18496.150000000001</v>
      </c>
    </row>
    <row r="98" spans="1:8" x14ac:dyDescent="0.25">
      <c r="A98" s="298"/>
      <c r="B98" s="335">
        <v>43871</v>
      </c>
      <c r="C98" s="507" t="s">
        <v>592</v>
      </c>
      <c r="D98" s="314" t="s">
        <v>456</v>
      </c>
      <c r="E98" s="336" t="s">
        <v>294</v>
      </c>
      <c r="F98" s="203" t="s">
        <v>448</v>
      </c>
      <c r="G98" s="389">
        <v>141092.6</v>
      </c>
    </row>
    <row r="99" spans="1:8" ht="15.75" x14ac:dyDescent="0.25">
      <c r="A99" s="298"/>
      <c r="B99" s="335"/>
      <c r="C99" s="507"/>
      <c r="D99" s="304"/>
      <c r="E99" s="361"/>
      <c r="F99" s="399" t="s">
        <v>419</v>
      </c>
      <c r="G99" s="319">
        <f>G95+G96+G97+G98</f>
        <v>203719.69</v>
      </c>
    </row>
    <row r="100" spans="1:8" x14ac:dyDescent="0.25">
      <c r="A100" s="298"/>
      <c r="B100" s="738"/>
      <c r="C100" s="739"/>
      <c r="D100" s="740"/>
      <c r="E100" s="741" t="s">
        <v>988</v>
      </c>
      <c r="F100" s="742"/>
      <c r="G100" s="743"/>
    </row>
    <row r="101" spans="1:8" x14ac:dyDescent="0.25">
      <c r="A101" s="298"/>
      <c r="B101" s="335">
        <v>45870</v>
      </c>
      <c r="C101" s="246" t="s">
        <v>767</v>
      </c>
      <c r="D101" s="314" t="s">
        <v>768</v>
      </c>
      <c r="E101" s="336" t="s">
        <v>988</v>
      </c>
      <c r="F101" s="312" t="s">
        <v>989</v>
      </c>
      <c r="G101" s="406">
        <v>77493.009999999995</v>
      </c>
      <c r="H101" s="298"/>
    </row>
    <row r="102" spans="1:8" x14ac:dyDescent="0.25">
      <c r="A102" s="298"/>
      <c r="B102" s="335">
        <v>45870</v>
      </c>
      <c r="C102" s="336" t="s">
        <v>770</v>
      </c>
      <c r="D102" s="314" t="s">
        <v>990</v>
      </c>
      <c r="E102" s="336" t="s">
        <v>988</v>
      </c>
      <c r="F102" s="226" t="s">
        <v>991</v>
      </c>
      <c r="G102" s="406">
        <v>87839.2</v>
      </c>
    </row>
    <row r="103" spans="1:8" ht="15.75" x14ac:dyDescent="0.25">
      <c r="A103" s="298"/>
      <c r="B103" s="335"/>
      <c r="C103" s="515"/>
      <c r="D103" s="314"/>
      <c r="E103" s="407"/>
      <c r="F103" s="377" t="s">
        <v>419</v>
      </c>
      <c r="G103" s="408">
        <f>G101+G102</f>
        <v>165332.21</v>
      </c>
    </row>
    <row r="104" spans="1:8" x14ac:dyDescent="0.25">
      <c r="A104" s="298"/>
      <c r="B104" s="366"/>
      <c r="C104" s="525"/>
      <c r="D104" s="367"/>
      <c r="E104" s="410" t="s">
        <v>296</v>
      </c>
      <c r="F104" s="411"/>
      <c r="G104" s="412"/>
    </row>
    <row r="105" spans="1:8" x14ac:dyDescent="0.25">
      <c r="A105" s="298"/>
      <c r="B105" s="335">
        <v>41733</v>
      </c>
      <c r="C105" s="507" t="s">
        <v>457</v>
      </c>
      <c r="D105" s="314">
        <v>11500001927</v>
      </c>
      <c r="E105" s="336" t="s">
        <v>296</v>
      </c>
      <c r="F105" s="226" t="s">
        <v>458</v>
      </c>
      <c r="G105" s="406">
        <v>15214</v>
      </c>
    </row>
    <row r="106" spans="1:8" x14ac:dyDescent="0.25">
      <c r="A106" s="298"/>
      <c r="B106" s="335">
        <v>41733</v>
      </c>
      <c r="C106" s="507" t="s">
        <v>459</v>
      </c>
      <c r="D106" s="314">
        <v>11500001928</v>
      </c>
      <c r="E106" s="336" t="s">
        <v>296</v>
      </c>
      <c r="F106" s="226" t="s">
        <v>458</v>
      </c>
      <c r="G106" s="406">
        <v>22840</v>
      </c>
    </row>
    <row r="107" spans="1:8" x14ac:dyDescent="0.25">
      <c r="A107" s="298"/>
      <c r="B107" s="335">
        <v>41733</v>
      </c>
      <c r="C107" s="507" t="s">
        <v>460</v>
      </c>
      <c r="D107" s="314">
        <v>11500001929</v>
      </c>
      <c r="E107" s="336" t="s">
        <v>296</v>
      </c>
      <c r="F107" s="226" t="s">
        <v>458</v>
      </c>
      <c r="G107" s="406">
        <v>1565</v>
      </c>
    </row>
    <row r="108" spans="1:8" x14ac:dyDescent="0.25">
      <c r="A108" s="298"/>
      <c r="B108" s="335">
        <v>41740</v>
      </c>
      <c r="C108" s="507" t="s">
        <v>461</v>
      </c>
      <c r="D108" s="314">
        <v>11500001930</v>
      </c>
      <c r="E108" s="336" t="s">
        <v>296</v>
      </c>
      <c r="F108" s="226" t="s">
        <v>458</v>
      </c>
      <c r="G108" s="406">
        <v>15754</v>
      </c>
    </row>
    <row r="109" spans="1:8" x14ac:dyDescent="0.25">
      <c r="A109" s="298"/>
      <c r="B109" s="335">
        <v>41740</v>
      </c>
      <c r="C109" s="507" t="s">
        <v>462</v>
      </c>
      <c r="D109" s="314">
        <v>11500001931</v>
      </c>
      <c r="E109" s="336" t="s">
        <v>296</v>
      </c>
      <c r="F109" s="226" t="s">
        <v>458</v>
      </c>
      <c r="G109" s="406">
        <v>21975</v>
      </c>
    </row>
    <row r="110" spans="1:8" x14ac:dyDescent="0.25">
      <c r="A110" s="298"/>
      <c r="B110" s="335">
        <v>41740</v>
      </c>
      <c r="C110" s="507" t="s">
        <v>463</v>
      </c>
      <c r="D110" s="314">
        <v>11500001932</v>
      </c>
      <c r="E110" s="336" t="s">
        <v>296</v>
      </c>
      <c r="F110" s="226" t="s">
        <v>458</v>
      </c>
      <c r="G110" s="406">
        <v>2990</v>
      </c>
    </row>
    <row r="111" spans="1:8" x14ac:dyDescent="0.25">
      <c r="A111" s="298"/>
      <c r="B111" s="335">
        <v>41744</v>
      </c>
      <c r="C111" s="507" t="s">
        <v>464</v>
      </c>
      <c r="D111" s="314">
        <v>11500001933</v>
      </c>
      <c r="E111" s="336" t="s">
        <v>296</v>
      </c>
      <c r="F111" s="226" t="s">
        <v>458</v>
      </c>
      <c r="G111" s="406">
        <v>16328.5</v>
      </c>
    </row>
    <row r="112" spans="1:8" x14ac:dyDescent="0.25">
      <c r="A112" s="298"/>
      <c r="B112" s="335">
        <v>41744</v>
      </c>
      <c r="C112" s="507" t="s">
        <v>465</v>
      </c>
      <c r="D112" s="314">
        <v>11500001934</v>
      </c>
      <c r="E112" s="336" t="s">
        <v>296</v>
      </c>
      <c r="F112" s="226" t="s">
        <v>458</v>
      </c>
      <c r="G112" s="406">
        <v>18520</v>
      </c>
    </row>
    <row r="113" spans="1:12" x14ac:dyDescent="0.25">
      <c r="A113" s="298"/>
      <c r="B113" s="335">
        <v>41744</v>
      </c>
      <c r="C113" s="507" t="s">
        <v>466</v>
      </c>
      <c r="D113" s="314">
        <v>11500001935</v>
      </c>
      <c r="E113" s="336" t="s">
        <v>296</v>
      </c>
      <c r="F113" s="226" t="s">
        <v>458</v>
      </c>
      <c r="G113" s="406">
        <v>3179</v>
      </c>
    </row>
    <row r="114" spans="1:12" ht="15.75" x14ac:dyDescent="0.25">
      <c r="A114" s="298"/>
      <c r="B114" s="335"/>
      <c r="C114" s="515"/>
      <c r="D114" s="304"/>
      <c r="E114" s="407"/>
      <c r="F114" s="409" t="s">
        <v>419</v>
      </c>
      <c r="G114" s="408">
        <f>SUM(G105:G113)</f>
        <v>118365.5</v>
      </c>
    </row>
    <row r="115" spans="1:12" x14ac:dyDescent="0.25">
      <c r="A115" s="298"/>
      <c r="B115" s="416"/>
      <c r="C115" s="526"/>
      <c r="D115" s="333"/>
      <c r="E115" s="417" t="s">
        <v>297</v>
      </c>
      <c r="F115" s="418"/>
      <c r="G115" s="419"/>
    </row>
    <row r="116" spans="1:12" x14ac:dyDescent="0.25">
      <c r="A116" s="298"/>
      <c r="B116" s="335">
        <v>42242</v>
      </c>
      <c r="C116" s="326" t="s">
        <v>467</v>
      </c>
      <c r="D116" s="314">
        <v>11500000374</v>
      </c>
      <c r="E116" s="246" t="s">
        <v>297</v>
      </c>
      <c r="F116" s="251" t="s">
        <v>448</v>
      </c>
      <c r="G116" s="420">
        <v>48380</v>
      </c>
    </row>
    <row r="117" spans="1:12" x14ac:dyDescent="0.25">
      <c r="A117" s="298"/>
      <c r="B117" s="335">
        <v>42385</v>
      </c>
      <c r="C117" s="326" t="s">
        <v>468</v>
      </c>
      <c r="D117" s="314">
        <v>11500000375</v>
      </c>
      <c r="E117" s="246" t="s">
        <v>297</v>
      </c>
      <c r="F117" s="251" t="s">
        <v>448</v>
      </c>
      <c r="G117" s="420">
        <v>73160</v>
      </c>
    </row>
    <row r="118" spans="1:12" x14ac:dyDescent="0.25">
      <c r="A118" s="298"/>
      <c r="B118" s="335">
        <v>42533</v>
      </c>
      <c r="C118" s="326" t="s">
        <v>469</v>
      </c>
      <c r="D118" s="314">
        <v>11500000001</v>
      </c>
      <c r="E118" s="246" t="s">
        <v>297</v>
      </c>
      <c r="F118" s="251" t="s">
        <v>448</v>
      </c>
      <c r="G118" s="420">
        <v>115168</v>
      </c>
      <c r="L118" t="s">
        <v>73</v>
      </c>
    </row>
    <row r="119" spans="1:12" x14ac:dyDescent="0.25">
      <c r="A119" s="298"/>
      <c r="B119" s="335"/>
      <c r="C119" s="515"/>
      <c r="D119" s="304"/>
      <c r="E119" s="421"/>
      <c r="F119" s="415" t="s">
        <v>419</v>
      </c>
      <c r="G119" s="325">
        <f>SUM(G116:G118)</f>
        <v>236708</v>
      </c>
    </row>
    <row r="120" spans="1:12" x14ac:dyDescent="0.25">
      <c r="A120" s="298"/>
      <c r="B120" s="390"/>
      <c r="C120" s="523"/>
      <c r="D120" s="391"/>
      <c r="E120" s="392" t="s">
        <v>298</v>
      </c>
      <c r="F120" s="393"/>
      <c r="G120" s="423"/>
      <c r="I120" s="307"/>
    </row>
    <row r="121" spans="1:12" x14ac:dyDescent="0.25">
      <c r="A121" s="298"/>
      <c r="B121" s="335">
        <v>42697</v>
      </c>
      <c r="C121" s="326" t="s">
        <v>424</v>
      </c>
      <c r="D121" s="314">
        <v>11501510089</v>
      </c>
      <c r="E121" s="246" t="s">
        <v>298</v>
      </c>
      <c r="F121" s="250" t="s">
        <v>470</v>
      </c>
      <c r="G121" s="337">
        <v>4602</v>
      </c>
      <c r="I121" s="307"/>
    </row>
    <row r="122" spans="1:12" ht="15.75" x14ac:dyDescent="0.25">
      <c r="A122" s="298"/>
      <c r="B122" s="335"/>
      <c r="C122" s="507"/>
      <c r="D122" s="314"/>
      <c r="E122" s="361"/>
      <c r="F122" s="322" t="s">
        <v>419</v>
      </c>
      <c r="G122" s="319">
        <f>G121</f>
        <v>4602</v>
      </c>
      <c r="I122" s="307"/>
    </row>
    <row r="123" spans="1:12" x14ac:dyDescent="0.25">
      <c r="A123" s="298"/>
      <c r="B123" s="416"/>
      <c r="C123" s="744"/>
      <c r="D123" s="333"/>
      <c r="E123" s="745" t="s">
        <v>992</v>
      </c>
      <c r="F123" s="746"/>
      <c r="G123" s="747"/>
    </row>
    <row r="124" spans="1:12" x14ac:dyDescent="0.25">
      <c r="A124" s="298"/>
      <c r="B124" s="335">
        <v>45880</v>
      </c>
      <c r="C124" s="748" t="s">
        <v>846</v>
      </c>
      <c r="D124" s="314" t="s">
        <v>570</v>
      </c>
      <c r="E124" s="336" t="s">
        <v>992</v>
      </c>
      <c r="F124" s="203" t="s">
        <v>993</v>
      </c>
      <c r="G124" s="388">
        <v>39176</v>
      </c>
    </row>
    <row r="125" spans="1:12" ht="15.75" x14ac:dyDescent="0.25">
      <c r="A125" s="298"/>
      <c r="B125" s="335"/>
      <c r="C125" s="507"/>
      <c r="D125" s="314"/>
      <c r="E125" s="361"/>
      <c r="F125" s="322" t="s">
        <v>419</v>
      </c>
      <c r="G125" s="319">
        <f>G124</f>
        <v>39176</v>
      </c>
    </row>
    <row r="126" spans="1:12" ht="30" customHeight="1" x14ac:dyDescent="0.25">
      <c r="A126" s="298"/>
      <c r="B126" s="645"/>
      <c r="C126" s="646"/>
      <c r="D126" s="647"/>
      <c r="E126" s="648" t="s">
        <v>730</v>
      </c>
      <c r="F126" s="649"/>
      <c r="G126" s="650"/>
    </row>
    <row r="127" spans="1:12" ht="15" customHeight="1" x14ac:dyDescent="0.25">
      <c r="A127" s="298"/>
      <c r="B127" s="335">
        <v>45866</v>
      </c>
      <c r="C127" s="749" t="s">
        <v>721</v>
      </c>
      <c r="D127" s="304" t="s">
        <v>668</v>
      </c>
      <c r="E127" s="361" t="s">
        <v>730</v>
      </c>
      <c r="F127" s="651" t="s">
        <v>733</v>
      </c>
      <c r="G127" s="505">
        <v>27652.67</v>
      </c>
    </row>
    <row r="128" spans="1:12" ht="15" customHeight="1" x14ac:dyDescent="0.25">
      <c r="A128" s="298"/>
      <c r="B128" s="335">
        <v>45876</v>
      </c>
      <c r="C128" s="592" t="s">
        <v>828</v>
      </c>
      <c r="D128" s="304" t="s">
        <v>829</v>
      </c>
      <c r="E128" s="361" t="s">
        <v>730</v>
      </c>
      <c r="F128" s="651" t="s">
        <v>733</v>
      </c>
      <c r="G128" s="505">
        <v>9671.5300000000007</v>
      </c>
    </row>
    <row r="129" spans="1:7" ht="15" customHeight="1" x14ac:dyDescent="0.25">
      <c r="A129" s="298"/>
      <c r="B129" s="335">
        <v>45883</v>
      </c>
      <c r="C129" s="592" t="s">
        <v>879</v>
      </c>
      <c r="D129" s="304" t="s">
        <v>880</v>
      </c>
      <c r="E129" s="361" t="s">
        <v>730</v>
      </c>
      <c r="F129" s="651" t="s">
        <v>733</v>
      </c>
      <c r="G129" s="505">
        <v>27652.67</v>
      </c>
    </row>
    <row r="130" spans="1:7" ht="15" customHeight="1" x14ac:dyDescent="0.25">
      <c r="A130" s="298"/>
      <c r="B130" s="335">
        <v>45890</v>
      </c>
      <c r="C130" s="634" t="s">
        <v>905</v>
      </c>
      <c r="D130" s="304" t="s">
        <v>906</v>
      </c>
      <c r="E130" s="361" t="s">
        <v>994</v>
      </c>
      <c r="F130" s="651" t="s">
        <v>733</v>
      </c>
      <c r="G130" s="505">
        <v>14744.95</v>
      </c>
    </row>
    <row r="131" spans="1:7" ht="16.5" customHeight="1" x14ac:dyDescent="0.25">
      <c r="A131" s="298"/>
      <c r="B131" s="335">
        <v>45897</v>
      </c>
      <c r="C131" s="634" t="s">
        <v>933</v>
      </c>
      <c r="D131" s="304" t="s">
        <v>934</v>
      </c>
      <c r="E131" s="361" t="s">
        <v>994</v>
      </c>
      <c r="F131" s="651" t="s">
        <v>995</v>
      </c>
      <c r="G131" s="505">
        <v>5890.01</v>
      </c>
    </row>
    <row r="132" spans="1:7" ht="15.75" customHeight="1" x14ac:dyDescent="0.25">
      <c r="A132" s="298"/>
      <c r="B132" s="335"/>
      <c r="C132" s="507"/>
      <c r="D132" s="304"/>
      <c r="E132" s="361"/>
      <c r="F132" s="322" t="s">
        <v>419</v>
      </c>
      <c r="G132" s="319">
        <f>G127+G128+G129+G130+G131</f>
        <v>85611.829999999987</v>
      </c>
    </row>
    <row r="133" spans="1:7" x14ac:dyDescent="0.25">
      <c r="A133" s="298"/>
      <c r="B133" s="394"/>
      <c r="C133" s="527"/>
      <c r="D133" s="425"/>
      <c r="E133" s="426" t="s">
        <v>300</v>
      </c>
      <c r="F133" s="371"/>
      <c r="G133" s="427"/>
    </row>
    <row r="134" spans="1:7" x14ac:dyDescent="0.25">
      <c r="A134" s="298"/>
      <c r="B134" s="335">
        <v>42143</v>
      </c>
      <c r="C134" s="507" t="s">
        <v>471</v>
      </c>
      <c r="D134" s="314">
        <v>11500019398</v>
      </c>
      <c r="E134" s="336" t="s">
        <v>300</v>
      </c>
      <c r="F134" s="203" t="s">
        <v>427</v>
      </c>
      <c r="G134" s="389">
        <v>5700</v>
      </c>
    </row>
    <row r="135" spans="1:7" x14ac:dyDescent="0.25">
      <c r="A135" s="298"/>
      <c r="B135" s="335">
        <v>42193</v>
      </c>
      <c r="C135" s="507" t="s">
        <v>472</v>
      </c>
      <c r="D135" s="314">
        <v>11500019704</v>
      </c>
      <c r="E135" s="336" t="s">
        <v>300</v>
      </c>
      <c r="F135" s="203" t="s">
        <v>427</v>
      </c>
      <c r="G135" s="389">
        <v>3029</v>
      </c>
    </row>
    <row r="136" spans="1:7" x14ac:dyDescent="0.25">
      <c r="A136" s="298"/>
      <c r="B136" s="335">
        <v>42247</v>
      </c>
      <c r="C136" s="507" t="s">
        <v>473</v>
      </c>
      <c r="D136" s="314">
        <v>11500020604</v>
      </c>
      <c r="E136" s="336" t="s">
        <v>300</v>
      </c>
      <c r="F136" s="203" t="s">
        <v>427</v>
      </c>
      <c r="G136" s="388">
        <v>28648.44</v>
      </c>
    </row>
    <row r="137" spans="1:7" x14ac:dyDescent="0.25">
      <c r="A137" s="298"/>
      <c r="B137" s="335">
        <v>42359</v>
      </c>
      <c r="C137" s="507" t="s">
        <v>474</v>
      </c>
      <c r="D137" s="314">
        <v>11500020825</v>
      </c>
      <c r="E137" s="336" t="s">
        <v>300</v>
      </c>
      <c r="F137" s="203" t="s">
        <v>427</v>
      </c>
      <c r="G137" s="389">
        <v>39868.5</v>
      </c>
    </row>
    <row r="138" spans="1:7" x14ac:dyDescent="0.25">
      <c r="A138" s="298"/>
      <c r="B138" s="335">
        <v>42403</v>
      </c>
      <c r="C138" s="507" t="s">
        <v>475</v>
      </c>
      <c r="D138" s="314">
        <v>11500025310</v>
      </c>
      <c r="E138" s="336" t="s">
        <v>300</v>
      </c>
      <c r="F138" s="203" t="s">
        <v>427</v>
      </c>
      <c r="G138" s="388">
        <v>26525</v>
      </c>
    </row>
    <row r="139" spans="1:7" ht="15.75" x14ac:dyDescent="0.25">
      <c r="A139" s="298"/>
      <c r="B139" s="335"/>
      <c r="C139" s="507"/>
      <c r="D139" s="314"/>
      <c r="E139" s="336"/>
      <c r="F139" s="339" t="s">
        <v>419</v>
      </c>
      <c r="G139" s="319">
        <f>G134+G135+G136+G137+G138</f>
        <v>103770.94</v>
      </c>
    </row>
    <row r="140" spans="1:7" ht="15.75" x14ac:dyDescent="0.25">
      <c r="A140" s="298"/>
      <c r="B140" s="404"/>
      <c r="C140" s="528"/>
      <c r="D140" s="347"/>
      <c r="E140" s="428" t="s">
        <v>476</v>
      </c>
      <c r="F140" s="429"/>
      <c r="G140" s="405"/>
    </row>
    <row r="141" spans="1:7" x14ac:dyDescent="0.25">
      <c r="A141" s="298"/>
      <c r="B141" s="335">
        <v>44043</v>
      </c>
      <c r="C141" s="326" t="s">
        <v>477</v>
      </c>
      <c r="D141" s="314" t="s">
        <v>478</v>
      </c>
      <c r="E141" s="246" t="s">
        <v>479</v>
      </c>
      <c r="F141" s="250" t="s">
        <v>480</v>
      </c>
      <c r="G141" s="337">
        <v>30500</v>
      </c>
    </row>
    <row r="142" spans="1:7" ht="15.75" x14ac:dyDescent="0.25">
      <c r="A142" s="298"/>
      <c r="B142" s="335"/>
      <c r="C142" s="507"/>
      <c r="D142" s="304"/>
      <c r="E142" s="336"/>
      <c r="F142" s="339" t="s">
        <v>419</v>
      </c>
      <c r="G142" s="319">
        <f>G141</f>
        <v>30500</v>
      </c>
    </row>
    <row r="143" spans="1:7" x14ac:dyDescent="0.25">
      <c r="A143" s="298"/>
      <c r="B143" s="430"/>
      <c r="C143" s="529"/>
      <c r="D143" s="431"/>
      <c r="E143" s="432" t="s">
        <v>303</v>
      </c>
      <c r="F143" s="433"/>
      <c r="G143" s="434"/>
    </row>
    <row r="144" spans="1:7" ht="12" customHeight="1" x14ac:dyDescent="0.25">
      <c r="A144" s="298"/>
      <c r="B144" s="335">
        <v>44077</v>
      </c>
      <c r="C144" s="507" t="s">
        <v>481</v>
      </c>
      <c r="D144" s="304"/>
      <c r="E144" s="336" t="s">
        <v>303</v>
      </c>
      <c r="F144" s="203" t="s">
        <v>482</v>
      </c>
      <c r="G144" s="389">
        <v>2500</v>
      </c>
    </row>
    <row r="145" spans="1:9" ht="16.5" customHeight="1" x14ac:dyDescent="0.25">
      <c r="A145" s="298"/>
      <c r="B145" s="335"/>
      <c r="C145" s="507"/>
      <c r="D145" s="304"/>
      <c r="E145" s="361"/>
      <c r="F145" s="322" t="s">
        <v>419</v>
      </c>
      <c r="G145" s="319">
        <f>G144</f>
        <v>2500</v>
      </c>
      <c r="I145" s="32"/>
    </row>
    <row r="146" spans="1:9" x14ac:dyDescent="0.25">
      <c r="A146" s="298"/>
      <c r="B146" s="599"/>
      <c r="C146" s="600"/>
      <c r="D146" s="601"/>
      <c r="E146" s="602" t="s">
        <v>651</v>
      </c>
      <c r="F146" s="603"/>
      <c r="G146" s="603"/>
    </row>
    <row r="147" spans="1:9" x14ac:dyDescent="0.25">
      <c r="A147" s="298"/>
      <c r="B147" s="335">
        <v>45887</v>
      </c>
      <c r="C147" s="750" t="s">
        <v>890</v>
      </c>
      <c r="D147" s="320" t="s">
        <v>891</v>
      </c>
      <c r="E147" s="246" t="s">
        <v>621</v>
      </c>
      <c r="F147" s="247" t="s">
        <v>652</v>
      </c>
      <c r="G147" s="337">
        <v>175000</v>
      </c>
    </row>
    <row r="148" spans="1:9" x14ac:dyDescent="0.25">
      <c r="A148" s="298"/>
      <c r="B148" s="335">
        <v>45898</v>
      </c>
      <c r="C148" s="750" t="s">
        <v>944</v>
      </c>
      <c r="D148" s="610" t="s">
        <v>945</v>
      </c>
      <c r="E148" s="246" t="s">
        <v>621</v>
      </c>
      <c r="F148" s="247" t="s">
        <v>652</v>
      </c>
      <c r="G148" s="337">
        <v>125000</v>
      </c>
    </row>
    <row r="149" spans="1:9" x14ac:dyDescent="0.25">
      <c r="A149" s="298"/>
      <c r="B149" s="335"/>
      <c r="C149" s="751"/>
      <c r="D149" s="304"/>
      <c r="E149" s="361"/>
      <c r="F149" s="306" t="s">
        <v>419</v>
      </c>
      <c r="G149" s="752">
        <f>SUM(G147:G148)</f>
        <v>300000</v>
      </c>
    </row>
    <row r="150" spans="1:9" x14ac:dyDescent="0.25">
      <c r="A150" s="298"/>
      <c r="B150" s="753"/>
      <c r="C150" s="754"/>
      <c r="D150" s="755"/>
      <c r="E150" s="756" t="s">
        <v>825</v>
      </c>
      <c r="F150" s="757"/>
      <c r="G150" s="758"/>
    </row>
    <row r="151" spans="1:9" x14ac:dyDescent="0.25">
      <c r="A151" s="298"/>
      <c r="B151" s="335">
        <v>45898</v>
      </c>
      <c r="C151" s="610" t="s">
        <v>941</v>
      </c>
      <c r="D151" s="610" t="s">
        <v>942</v>
      </c>
      <c r="E151" s="229" t="s">
        <v>825</v>
      </c>
      <c r="F151" s="759" t="s">
        <v>996</v>
      </c>
      <c r="G151" s="612">
        <v>4725</v>
      </c>
      <c r="I151" s="265"/>
    </row>
    <row r="152" spans="1:9" ht="15.75" x14ac:dyDescent="0.25">
      <c r="A152" s="298"/>
      <c r="B152" s="335"/>
      <c r="C152" s="751"/>
      <c r="D152" s="314"/>
      <c r="E152" s="361"/>
      <c r="F152" s="322" t="s">
        <v>419</v>
      </c>
      <c r="G152" s="505">
        <f>G151</f>
        <v>4725</v>
      </c>
    </row>
    <row r="153" spans="1:9" ht="15.75" x14ac:dyDescent="0.25">
      <c r="A153" s="298"/>
      <c r="B153" s="365"/>
      <c r="C153" s="760"/>
      <c r="D153" s="315"/>
      <c r="E153" s="437" t="s">
        <v>305</v>
      </c>
      <c r="F153" s="340"/>
      <c r="G153" s="438"/>
    </row>
    <row r="154" spans="1:9" x14ac:dyDescent="0.25">
      <c r="A154" s="298"/>
      <c r="B154" s="335">
        <v>44327</v>
      </c>
      <c r="C154" s="320" t="s">
        <v>483</v>
      </c>
      <c r="D154" s="314" t="s">
        <v>484</v>
      </c>
      <c r="E154" s="246" t="s">
        <v>305</v>
      </c>
      <c r="F154" s="439" t="s">
        <v>423</v>
      </c>
      <c r="G154" s="424">
        <v>1298</v>
      </c>
    </row>
    <row r="155" spans="1:9" ht="15.75" x14ac:dyDescent="0.25">
      <c r="A155" s="298"/>
      <c r="B155" s="335"/>
      <c r="C155" s="751"/>
      <c r="D155" s="314"/>
      <c r="E155" s="361"/>
      <c r="F155" s="306" t="s">
        <v>419</v>
      </c>
      <c r="G155" s="319">
        <f>G154</f>
        <v>1298</v>
      </c>
    </row>
    <row r="156" spans="1:9" ht="15.75" x14ac:dyDescent="0.25">
      <c r="A156" s="298"/>
      <c r="B156" s="365"/>
      <c r="C156" s="760"/>
      <c r="D156" s="315"/>
      <c r="E156" s="437" t="s">
        <v>997</v>
      </c>
      <c r="F156" s="340"/>
      <c r="G156" s="438"/>
    </row>
    <row r="157" spans="1:9" ht="24.75" x14ac:dyDescent="0.25">
      <c r="A157" s="298"/>
      <c r="B157" s="335">
        <v>45894</v>
      </c>
      <c r="C157" s="750" t="s">
        <v>842</v>
      </c>
      <c r="D157" s="314" t="s">
        <v>843</v>
      </c>
      <c r="E157" s="246" t="s">
        <v>997</v>
      </c>
      <c r="F157" s="439" t="s">
        <v>998</v>
      </c>
      <c r="G157" s="337">
        <v>157246.79999999999</v>
      </c>
    </row>
    <row r="158" spans="1:9" ht="15.75" x14ac:dyDescent="0.25">
      <c r="A158" s="298"/>
      <c r="B158" s="335"/>
      <c r="C158" s="507"/>
      <c r="D158" s="314"/>
      <c r="E158" s="361"/>
      <c r="F158" s="306" t="s">
        <v>419</v>
      </c>
      <c r="G158" s="319">
        <f>G157</f>
        <v>157246.79999999999</v>
      </c>
    </row>
    <row r="159" spans="1:9" x14ac:dyDescent="0.25">
      <c r="A159" s="298"/>
      <c r="B159" s="413"/>
      <c r="C159" s="532"/>
      <c r="D159" s="414"/>
      <c r="E159" s="422" t="s">
        <v>307</v>
      </c>
      <c r="F159" s="334"/>
      <c r="G159" s="440"/>
    </row>
    <row r="160" spans="1:9" x14ac:dyDescent="0.25">
      <c r="A160" s="298"/>
      <c r="B160" s="582">
        <v>42489</v>
      </c>
      <c r="C160" s="9" t="s">
        <v>485</v>
      </c>
      <c r="D160" s="314">
        <v>11500000323</v>
      </c>
      <c r="E160" s="336" t="s">
        <v>307</v>
      </c>
      <c r="F160" s="203" t="s">
        <v>486</v>
      </c>
      <c r="G160" s="583">
        <v>17700</v>
      </c>
    </row>
    <row r="161" spans="1:7" x14ac:dyDescent="0.25">
      <c r="A161" s="298"/>
      <c r="B161" s="582">
        <v>42496</v>
      </c>
      <c r="C161" s="507" t="s">
        <v>485</v>
      </c>
      <c r="D161" s="314">
        <v>11500000324</v>
      </c>
      <c r="E161" s="336" t="s">
        <v>307</v>
      </c>
      <c r="F161" s="203" t="s">
        <v>486</v>
      </c>
      <c r="G161" s="583">
        <v>10620</v>
      </c>
    </row>
    <row r="162" spans="1:7" x14ac:dyDescent="0.25">
      <c r="A162" s="298"/>
      <c r="B162" s="582">
        <v>42543</v>
      </c>
      <c r="C162" s="507" t="s">
        <v>485</v>
      </c>
      <c r="D162" s="314">
        <v>11500000331</v>
      </c>
      <c r="E162" s="336" t="s">
        <v>307</v>
      </c>
      <c r="F162" s="203" t="s">
        <v>486</v>
      </c>
      <c r="G162" s="583">
        <v>13275</v>
      </c>
    </row>
    <row r="163" spans="1:7" x14ac:dyDescent="0.25">
      <c r="A163" s="298"/>
      <c r="B163" s="582">
        <v>42551</v>
      </c>
      <c r="C163" s="507" t="s">
        <v>485</v>
      </c>
      <c r="D163" s="314">
        <v>11500000332</v>
      </c>
      <c r="E163" s="336" t="s">
        <v>307</v>
      </c>
      <c r="F163" s="203" t="s">
        <v>486</v>
      </c>
      <c r="G163" s="583">
        <v>13275</v>
      </c>
    </row>
    <row r="164" spans="1:7" x14ac:dyDescent="0.25">
      <c r="A164" s="298"/>
      <c r="B164" s="582">
        <v>42685</v>
      </c>
      <c r="C164" s="507" t="s">
        <v>485</v>
      </c>
      <c r="D164" s="314">
        <v>11500000351</v>
      </c>
      <c r="E164" s="336" t="s">
        <v>307</v>
      </c>
      <c r="F164" s="203" t="s">
        <v>486</v>
      </c>
      <c r="G164" s="583">
        <v>8850</v>
      </c>
    </row>
    <row r="165" spans="1:7" x14ac:dyDescent="0.25">
      <c r="A165" s="298"/>
      <c r="B165" s="582">
        <v>42690</v>
      </c>
      <c r="C165" s="507" t="s">
        <v>485</v>
      </c>
      <c r="D165" s="314">
        <v>11500000352</v>
      </c>
      <c r="E165" s="336" t="s">
        <v>307</v>
      </c>
      <c r="F165" s="203" t="s">
        <v>486</v>
      </c>
      <c r="G165" s="583">
        <v>8850</v>
      </c>
    </row>
    <row r="166" spans="1:7" x14ac:dyDescent="0.25">
      <c r="A166" s="298"/>
      <c r="B166" s="582">
        <v>42696</v>
      </c>
      <c r="C166" s="507" t="s">
        <v>485</v>
      </c>
      <c r="D166" s="314">
        <v>11500000353</v>
      </c>
      <c r="E166" s="336" t="s">
        <v>307</v>
      </c>
      <c r="F166" s="203" t="s">
        <v>486</v>
      </c>
      <c r="G166" s="583">
        <v>10620</v>
      </c>
    </row>
    <row r="167" spans="1:7" x14ac:dyDescent="0.25">
      <c r="A167" s="298"/>
      <c r="B167" s="582">
        <v>42705</v>
      </c>
      <c r="C167" s="507" t="s">
        <v>485</v>
      </c>
      <c r="D167" s="314">
        <v>11500000356</v>
      </c>
      <c r="E167" s="336" t="s">
        <v>307</v>
      </c>
      <c r="F167" s="203" t="s">
        <v>486</v>
      </c>
      <c r="G167" s="583">
        <v>13275</v>
      </c>
    </row>
    <row r="168" spans="1:7" x14ac:dyDescent="0.25">
      <c r="A168" s="298"/>
      <c r="B168" s="582">
        <v>42719</v>
      </c>
      <c r="C168" s="507" t="s">
        <v>485</v>
      </c>
      <c r="D168" s="314">
        <v>11500010000</v>
      </c>
      <c r="E168" s="336" t="s">
        <v>307</v>
      </c>
      <c r="F168" s="203" t="s">
        <v>487</v>
      </c>
      <c r="G168" s="583">
        <v>7500</v>
      </c>
    </row>
    <row r="169" spans="1:7" x14ac:dyDescent="0.25">
      <c r="A169" s="298"/>
      <c r="B169" s="582">
        <v>42551</v>
      </c>
      <c r="C169" s="9" t="s">
        <v>485</v>
      </c>
      <c r="D169" s="314" t="s">
        <v>424</v>
      </c>
      <c r="E169" s="336" t="s">
        <v>307</v>
      </c>
      <c r="F169" s="203" t="s">
        <v>486</v>
      </c>
      <c r="G169" s="583">
        <v>3200</v>
      </c>
    </row>
    <row r="170" spans="1:7" ht="15.75" x14ac:dyDescent="0.25">
      <c r="A170" s="298"/>
      <c r="B170" s="582"/>
      <c r="C170" s="507"/>
      <c r="D170" s="320"/>
      <c r="E170" s="361"/>
      <c r="F170" s="306" t="s">
        <v>419</v>
      </c>
      <c r="G170" s="319">
        <f>SUM(G160:G169)</f>
        <v>107165</v>
      </c>
    </row>
    <row r="171" spans="1:7" x14ac:dyDescent="0.25">
      <c r="A171" s="298"/>
      <c r="B171" s="382"/>
      <c r="C171" s="533"/>
      <c r="D171" s="348"/>
      <c r="E171" s="444" t="s">
        <v>488</v>
      </c>
      <c r="F171" s="445"/>
      <c r="G171" s="446"/>
    </row>
    <row r="172" spans="1:7" ht="15" customHeight="1" x14ac:dyDescent="0.25">
      <c r="A172" s="298"/>
      <c r="B172" s="335">
        <v>42488</v>
      </c>
      <c r="C172" s="507" t="s">
        <v>489</v>
      </c>
      <c r="D172" s="314" t="s">
        <v>490</v>
      </c>
      <c r="E172" s="336" t="s">
        <v>488</v>
      </c>
      <c r="F172" s="203" t="s">
        <v>491</v>
      </c>
      <c r="G172" s="441">
        <v>5245.28</v>
      </c>
    </row>
    <row r="173" spans="1:7" ht="11.25" customHeight="1" x14ac:dyDescent="0.25">
      <c r="A173" s="298"/>
      <c r="B173" s="335">
        <v>42747</v>
      </c>
      <c r="C173" s="507" t="s">
        <v>492</v>
      </c>
      <c r="D173" s="314">
        <v>11500002525</v>
      </c>
      <c r="E173" s="336" t="s">
        <v>488</v>
      </c>
      <c r="F173" s="203" t="s">
        <v>493</v>
      </c>
      <c r="G173" s="441">
        <v>425</v>
      </c>
    </row>
    <row r="174" spans="1:7" ht="15.75" x14ac:dyDescent="0.25">
      <c r="A174" s="298"/>
      <c r="B174" s="335"/>
      <c r="C174" s="507"/>
      <c r="D174" s="314"/>
      <c r="E174" s="361"/>
      <c r="F174" s="377" t="s">
        <v>419</v>
      </c>
      <c r="G174" s="319">
        <f>G172+G173</f>
        <v>5670.28</v>
      </c>
    </row>
    <row r="175" spans="1:7" x14ac:dyDescent="0.25">
      <c r="A175" s="298"/>
      <c r="B175" s="401"/>
      <c r="C175" s="534"/>
      <c r="D175" s="402"/>
      <c r="E175" s="403" t="s">
        <v>310</v>
      </c>
      <c r="F175" s="447"/>
      <c r="G175" s="448"/>
    </row>
    <row r="176" spans="1:7" x14ac:dyDescent="0.25">
      <c r="A176" s="298"/>
      <c r="B176" s="335">
        <v>43196</v>
      </c>
      <c r="C176" s="326" t="s">
        <v>494</v>
      </c>
      <c r="D176" s="314" t="s">
        <v>495</v>
      </c>
      <c r="E176" s="246" t="s">
        <v>310</v>
      </c>
      <c r="F176" s="250" t="s">
        <v>425</v>
      </c>
      <c r="G176" s="424">
        <v>31736</v>
      </c>
    </row>
    <row r="177" spans="1:7" x14ac:dyDescent="0.25">
      <c r="A177" s="298"/>
      <c r="B177" s="335">
        <v>43222</v>
      </c>
      <c r="C177" s="326" t="s">
        <v>496</v>
      </c>
      <c r="D177" s="314" t="s">
        <v>497</v>
      </c>
      <c r="E177" s="246" t="s">
        <v>310</v>
      </c>
      <c r="F177" s="250" t="s">
        <v>434</v>
      </c>
      <c r="G177" s="424">
        <v>18250</v>
      </c>
    </row>
    <row r="178" spans="1:7" x14ac:dyDescent="0.25">
      <c r="A178" s="298"/>
      <c r="B178" s="335">
        <v>43410</v>
      </c>
      <c r="C178" s="326" t="s">
        <v>498</v>
      </c>
      <c r="D178" s="314" t="s">
        <v>499</v>
      </c>
      <c r="E178" s="246" t="s">
        <v>310</v>
      </c>
      <c r="F178" s="250" t="s">
        <v>500</v>
      </c>
      <c r="G178" s="424">
        <v>1504</v>
      </c>
    </row>
    <row r="179" spans="1:7" ht="15.75" x14ac:dyDescent="0.25">
      <c r="A179" s="298"/>
      <c r="B179" s="335"/>
      <c r="C179" s="507"/>
      <c r="D179" s="304"/>
      <c r="E179" s="361"/>
      <c r="F179" s="377" t="s">
        <v>419</v>
      </c>
      <c r="G179" s="319">
        <f>G176+G177+G178</f>
        <v>51490</v>
      </c>
    </row>
    <row r="180" spans="1:7" ht="15.75" x14ac:dyDescent="0.25">
      <c r="A180" s="298"/>
      <c r="B180" s="761"/>
      <c r="C180" s="762"/>
      <c r="D180" s="763"/>
      <c r="E180" s="764" t="s">
        <v>887</v>
      </c>
      <c r="F180" s="765"/>
      <c r="G180" s="766"/>
    </row>
    <row r="181" spans="1:7" x14ac:dyDescent="0.25">
      <c r="A181" s="298"/>
      <c r="B181" s="335">
        <v>45887</v>
      </c>
      <c r="C181" s="507" t="s">
        <v>885</v>
      </c>
      <c r="D181" s="304" t="s">
        <v>886</v>
      </c>
      <c r="E181" s="361" t="s">
        <v>887</v>
      </c>
      <c r="F181" s="306" t="s">
        <v>999</v>
      </c>
      <c r="G181" s="767">
        <v>2273.11</v>
      </c>
    </row>
    <row r="182" spans="1:7" ht="15.75" x14ac:dyDescent="0.25">
      <c r="A182" s="298"/>
      <c r="B182" s="335"/>
      <c r="C182" s="507"/>
      <c r="D182" s="304"/>
      <c r="E182" s="361"/>
      <c r="F182" s="377" t="s">
        <v>419</v>
      </c>
      <c r="G182" s="325">
        <f>G181</f>
        <v>2273.11</v>
      </c>
    </row>
    <row r="183" spans="1:7" ht="13.5" customHeight="1" x14ac:dyDescent="0.25">
      <c r="A183" s="298"/>
      <c r="B183" s="768"/>
      <c r="C183" s="769"/>
      <c r="D183" s="385"/>
      <c r="E183" s="770" t="s">
        <v>1000</v>
      </c>
      <c r="F183" s="771"/>
      <c r="G183" s="772"/>
    </row>
    <row r="184" spans="1:7" ht="13.5" customHeight="1" x14ac:dyDescent="0.25">
      <c r="A184" s="298"/>
      <c r="B184" s="335">
        <v>45891</v>
      </c>
      <c r="C184" s="246" t="s">
        <v>743</v>
      </c>
      <c r="D184" s="304" t="s">
        <v>744</v>
      </c>
      <c r="E184" s="361" t="s">
        <v>1000</v>
      </c>
      <c r="F184" s="203" t="s">
        <v>1001</v>
      </c>
      <c r="G184" s="773">
        <v>283200</v>
      </c>
    </row>
    <row r="185" spans="1:7" ht="13.5" customHeight="1" x14ac:dyDescent="0.25">
      <c r="A185" s="298"/>
      <c r="B185" s="335"/>
      <c r="C185" s="507"/>
      <c r="D185" s="304"/>
      <c r="E185" s="361"/>
      <c r="F185" s="377" t="s">
        <v>419</v>
      </c>
      <c r="G185" s="325">
        <f>G184</f>
        <v>283200</v>
      </c>
    </row>
    <row r="186" spans="1:7" x14ac:dyDescent="0.25">
      <c r="A186" s="298"/>
      <c r="B186" s="599"/>
      <c r="C186" s="600"/>
      <c r="D186" s="601"/>
      <c r="E186" s="602" t="s">
        <v>1002</v>
      </c>
      <c r="F186" s="603"/>
      <c r="G186" s="774"/>
    </row>
    <row r="187" spans="1:7" x14ac:dyDescent="0.25">
      <c r="A187" s="298"/>
      <c r="B187" s="335">
        <v>45876</v>
      </c>
      <c r="C187" s="246" t="s">
        <v>832</v>
      </c>
      <c r="D187" s="314" t="s">
        <v>833</v>
      </c>
      <c r="E187" s="336" t="s">
        <v>1002</v>
      </c>
      <c r="F187" s="203" t="s">
        <v>1003</v>
      </c>
      <c r="G187" s="775">
        <v>40120</v>
      </c>
    </row>
    <row r="188" spans="1:7" ht="15.75" x14ac:dyDescent="0.25">
      <c r="A188" s="298"/>
      <c r="B188" s="335"/>
      <c r="C188" s="507"/>
      <c r="D188" s="304"/>
      <c r="E188" s="361"/>
      <c r="F188" s="377" t="s">
        <v>419</v>
      </c>
      <c r="G188" s="319">
        <f>G187</f>
        <v>40120</v>
      </c>
    </row>
    <row r="189" spans="1:7" ht="15.75" x14ac:dyDescent="0.25">
      <c r="A189" s="298"/>
      <c r="B189" s="369"/>
      <c r="C189" s="535"/>
      <c r="D189" s="370"/>
      <c r="E189" s="436" t="s">
        <v>311</v>
      </c>
      <c r="F189" s="442"/>
      <c r="G189" s="443"/>
    </row>
    <row r="190" spans="1:7" x14ac:dyDescent="0.25">
      <c r="A190" s="298"/>
      <c r="B190" s="335">
        <v>42544</v>
      </c>
      <c r="C190" s="326" t="s">
        <v>501</v>
      </c>
      <c r="D190" s="314">
        <v>11500005595</v>
      </c>
      <c r="E190" s="421" t="s">
        <v>311</v>
      </c>
      <c r="F190" s="439" t="s">
        <v>434</v>
      </c>
      <c r="G190" s="424">
        <v>167230.35</v>
      </c>
    </row>
    <row r="191" spans="1:7" ht="15.75" x14ac:dyDescent="0.25">
      <c r="A191" s="298"/>
      <c r="B191" s="335"/>
      <c r="C191" s="507"/>
      <c r="D191" s="304"/>
      <c r="E191" s="361"/>
      <c r="F191" s="377" t="s">
        <v>419</v>
      </c>
      <c r="G191" s="319">
        <f>G190</f>
        <v>167230.35</v>
      </c>
    </row>
    <row r="192" spans="1:7" ht="15.75" x14ac:dyDescent="0.25">
      <c r="A192" s="298"/>
      <c r="B192" s="618"/>
      <c r="C192" s="619"/>
      <c r="D192" s="620"/>
      <c r="E192" s="621" t="s">
        <v>696</v>
      </c>
      <c r="F192" s="622"/>
      <c r="G192" s="623"/>
    </row>
    <row r="193" spans="1:12" ht="14.25" customHeight="1" x14ac:dyDescent="0.25">
      <c r="A193" s="298"/>
      <c r="B193" s="335">
        <v>45896</v>
      </c>
      <c r="C193" s="246" t="s">
        <v>930</v>
      </c>
      <c r="D193" s="617" t="s">
        <v>931</v>
      </c>
      <c r="E193" s="246" t="s">
        <v>696</v>
      </c>
      <c r="F193" s="250" t="s">
        <v>426</v>
      </c>
      <c r="G193" s="337">
        <v>11253.2</v>
      </c>
    </row>
    <row r="194" spans="1:12" ht="15.75" x14ac:dyDescent="0.25">
      <c r="A194" s="298"/>
      <c r="B194" s="372"/>
      <c r="C194" s="507"/>
      <c r="D194" s="304"/>
      <c r="E194" s="361"/>
      <c r="F194" s="377" t="s">
        <v>419</v>
      </c>
      <c r="G194" s="505">
        <f>G193</f>
        <v>11253.2</v>
      </c>
      <c r="I194" s="307"/>
    </row>
    <row r="195" spans="1:12" ht="15.75" x14ac:dyDescent="0.25">
      <c r="A195" s="298"/>
      <c r="B195" s="450"/>
      <c r="C195" s="530"/>
      <c r="D195" s="435"/>
      <c r="E195" s="381" t="s">
        <v>364</v>
      </c>
      <c r="F195" s="451"/>
      <c r="G195" s="452"/>
      <c r="I195" s="307"/>
    </row>
    <row r="196" spans="1:12" x14ac:dyDescent="0.25">
      <c r="A196" s="298"/>
      <c r="B196" s="372">
        <v>45898</v>
      </c>
      <c r="C196" s="609" t="s">
        <v>952</v>
      </c>
      <c r="D196" s="320" t="s">
        <v>953</v>
      </c>
      <c r="E196" s="246" t="s">
        <v>364</v>
      </c>
      <c r="F196" s="258" t="s">
        <v>670</v>
      </c>
      <c r="G196" s="388">
        <v>112977</v>
      </c>
      <c r="I196" s="307"/>
    </row>
    <row r="197" spans="1:12" ht="15.75" x14ac:dyDescent="0.25">
      <c r="A197" s="298"/>
      <c r="B197" s="372"/>
      <c r="C197" s="507"/>
      <c r="D197" s="304"/>
      <c r="E197" s="361"/>
      <c r="F197" s="377" t="s">
        <v>419</v>
      </c>
      <c r="G197" s="604">
        <f>SUM(G196)</f>
        <v>112977</v>
      </c>
      <c r="I197" s="307"/>
    </row>
    <row r="198" spans="1:12" ht="15.75" x14ac:dyDescent="0.25">
      <c r="A198" s="298"/>
      <c r="B198" s="453"/>
      <c r="C198" s="536"/>
      <c r="D198" s="367"/>
      <c r="E198" s="400" t="s">
        <v>313</v>
      </c>
      <c r="F198" s="449"/>
      <c r="G198" s="338"/>
    </row>
    <row r="199" spans="1:12" x14ac:dyDescent="0.25">
      <c r="A199" s="298"/>
      <c r="B199" s="372">
        <v>42166</v>
      </c>
      <c r="C199" s="507" t="s">
        <v>502</v>
      </c>
      <c r="D199" s="227">
        <v>11500000814</v>
      </c>
      <c r="E199" s="336" t="s">
        <v>313</v>
      </c>
      <c r="F199" s="203" t="s">
        <v>503</v>
      </c>
      <c r="G199" s="389">
        <v>1650</v>
      </c>
    </row>
    <row r="200" spans="1:12" x14ac:dyDescent="0.25">
      <c r="A200" s="298"/>
      <c r="B200" s="372">
        <v>42173</v>
      </c>
      <c r="C200" s="507" t="s">
        <v>504</v>
      </c>
      <c r="D200" s="227">
        <v>11500000816</v>
      </c>
      <c r="E200" s="336" t="s">
        <v>313</v>
      </c>
      <c r="F200" s="203" t="s">
        <v>505</v>
      </c>
      <c r="G200" s="389">
        <v>1930</v>
      </c>
    </row>
    <row r="201" spans="1:12" x14ac:dyDescent="0.25">
      <c r="A201" s="298"/>
      <c r="B201" s="372">
        <v>42249</v>
      </c>
      <c r="C201" s="507" t="s">
        <v>506</v>
      </c>
      <c r="D201" s="227">
        <v>11500000853</v>
      </c>
      <c r="E201" s="336" t="s">
        <v>313</v>
      </c>
      <c r="F201" s="203" t="s">
        <v>503</v>
      </c>
      <c r="G201" s="389">
        <v>1650</v>
      </c>
    </row>
    <row r="202" spans="1:12" x14ac:dyDescent="0.25">
      <c r="A202" s="298"/>
      <c r="B202" s="372">
        <v>42258</v>
      </c>
      <c r="C202" s="507" t="s">
        <v>507</v>
      </c>
      <c r="D202" s="227">
        <v>11500000861</v>
      </c>
      <c r="E202" s="336" t="s">
        <v>313</v>
      </c>
      <c r="F202" s="203" t="s">
        <v>505</v>
      </c>
      <c r="G202" s="389">
        <v>350</v>
      </c>
      <c r="L202" t="s">
        <v>365</v>
      </c>
    </row>
    <row r="203" spans="1:12" x14ac:dyDescent="0.25">
      <c r="A203" s="298"/>
      <c r="B203" s="372">
        <v>42258</v>
      </c>
      <c r="C203" s="507" t="s">
        <v>508</v>
      </c>
      <c r="D203" s="227">
        <v>11500000862</v>
      </c>
      <c r="E203" s="336" t="s">
        <v>313</v>
      </c>
      <c r="F203" s="203" t="s">
        <v>503</v>
      </c>
      <c r="G203" s="389">
        <v>1180</v>
      </c>
      <c r="H203" s="265"/>
    </row>
    <row r="204" spans="1:12" x14ac:dyDescent="0.25">
      <c r="A204" s="298"/>
      <c r="B204" s="372">
        <v>42296</v>
      </c>
      <c r="C204" s="507" t="s">
        <v>509</v>
      </c>
      <c r="D204" s="227">
        <v>11500000871</v>
      </c>
      <c r="E204" s="336" t="s">
        <v>313</v>
      </c>
      <c r="F204" s="203" t="s">
        <v>503</v>
      </c>
      <c r="G204" s="389">
        <v>550</v>
      </c>
    </row>
    <row r="205" spans="1:12" x14ac:dyDescent="0.25">
      <c r="A205" s="298"/>
      <c r="B205" s="372">
        <v>42311</v>
      </c>
      <c r="C205" s="507" t="s">
        <v>510</v>
      </c>
      <c r="D205" s="227">
        <v>11500000881</v>
      </c>
      <c r="E205" s="336" t="s">
        <v>313</v>
      </c>
      <c r="F205" s="203" t="s">
        <v>505</v>
      </c>
      <c r="G205" s="389">
        <v>2160</v>
      </c>
    </row>
    <row r="206" spans="1:12" x14ac:dyDescent="0.25">
      <c r="A206" s="298"/>
      <c r="B206" s="372">
        <v>42321</v>
      </c>
      <c r="C206" s="507" t="s">
        <v>511</v>
      </c>
      <c r="D206" s="227">
        <v>11500000891</v>
      </c>
      <c r="E206" s="336" t="s">
        <v>313</v>
      </c>
      <c r="F206" s="203" t="s">
        <v>503</v>
      </c>
      <c r="G206" s="389">
        <v>1430</v>
      </c>
    </row>
    <row r="207" spans="1:12" x14ac:dyDescent="0.25">
      <c r="A207" s="298"/>
      <c r="B207" s="372">
        <v>42367</v>
      </c>
      <c r="C207" s="507" t="s">
        <v>512</v>
      </c>
      <c r="D207" s="227">
        <v>11500000922</v>
      </c>
      <c r="E207" s="336" t="s">
        <v>313</v>
      </c>
      <c r="F207" s="203" t="s">
        <v>505</v>
      </c>
      <c r="G207" s="389">
        <v>690</v>
      </c>
    </row>
    <row r="208" spans="1:12" x14ac:dyDescent="0.25">
      <c r="A208" s="298"/>
      <c r="B208" s="372">
        <v>42380</v>
      </c>
      <c r="C208" s="507" t="s">
        <v>513</v>
      </c>
      <c r="D208" s="227">
        <v>11500000924</v>
      </c>
      <c r="E208" s="336" t="s">
        <v>313</v>
      </c>
      <c r="F208" s="203" t="s">
        <v>503</v>
      </c>
      <c r="G208" s="389">
        <v>1620</v>
      </c>
    </row>
    <row r="209" spans="1:11" x14ac:dyDescent="0.25">
      <c r="A209" s="298"/>
      <c r="B209" s="372">
        <v>42418</v>
      </c>
      <c r="C209" s="507" t="s">
        <v>514</v>
      </c>
      <c r="D209" s="227">
        <v>11500000941</v>
      </c>
      <c r="E209" s="336" t="s">
        <v>313</v>
      </c>
      <c r="F209" s="203" t="s">
        <v>503</v>
      </c>
      <c r="G209" s="389">
        <v>245</v>
      </c>
    </row>
    <row r="210" spans="1:11" ht="15.75" x14ac:dyDescent="0.25">
      <c r="A210" s="298"/>
      <c r="B210" s="372"/>
      <c r="C210" s="507"/>
      <c r="D210" s="314"/>
      <c r="E210" s="361"/>
      <c r="F210" s="377" t="s">
        <v>419</v>
      </c>
      <c r="G210" s="319">
        <f>SUM(G199:G209)</f>
        <v>13455</v>
      </c>
    </row>
    <row r="211" spans="1:11" ht="15.75" x14ac:dyDescent="0.25">
      <c r="A211" s="298"/>
      <c r="B211" s="450"/>
      <c r="C211" s="530"/>
      <c r="D211" s="435"/>
      <c r="E211" s="381" t="s">
        <v>315</v>
      </c>
      <c r="F211" s="451"/>
      <c r="G211" s="452"/>
    </row>
    <row r="212" spans="1:11" x14ac:dyDescent="0.25">
      <c r="A212" s="298"/>
      <c r="B212" s="372">
        <v>43503</v>
      </c>
      <c r="C212" s="507" t="s">
        <v>515</v>
      </c>
      <c r="D212" s="227" t="s">
        <v>424</v>
      </c>
      <c r="E212" s="336" t="s">
        <v>315</v>
      </c>
      <c r="F212" s="203" t="s">
        <v>516</v>
      </c>
      <c r="G212" s="389">
        <v>900</v>
      </c>
    </row>
    <row r="213" spans="1:11" x14ac:dyDescent="0.25">
      <c r="A213" s="298"/>
      <c r="B213" s="372">
        <v>43754</v>
      </c>
      <c r="C213" s="507" t="s">
        <v>517</v>
      </c>
      <c r="D213" s="227" t="s">
        <v>424</v>
      </c>
      <c r="E213" s="336" t="s">
        <v>315</v>
      </c>
      <c r="F213" s="203" t="s">
        <v>516</v>
      </c>
      <c r="G213" s="389">
        <v>900</v>
      </c>
    </row>
    <row r="214" spans="1:11" ht="15.75" x14ac:dyDescent="0.25">
      <c r="A214" s="298"/>
      <c r="B214" s="372"/>
      <c r="C214" s="507"/>
      <c r="D214" s="314"/>
      <c r="E214" s="361"/>
      <c r="F214" s="377" t="s">
        <v>419</v>
      </c>
      <c r="G214" s="319">
        <f>G212+G213</f>
        <v>1800</v>
      </c>
    </row>
    <row r="215" spans="1:11" ht="15.75" x14ac:dyDescent="0.25">
      <c r="A215" s="298"/>
      <c r="B215" s="455"/>
      <c r="C215" s="537"/>
      <c r="D215" s="456"/>
      <c r="E215" s="457" t="s">
        <v>317</v>
      </c>
      <c r="F215" s="458"/>
      <c r="G215" s="459"/>
    </row>
    <row r="216" spans="1:11" x14ac:dyDescent="0.25">
      <c r="A216" s="298"/>
      <c r="B216" s="454">
        <v>41946</v>
      </c>
      <c r="C216" s="507" t="s">
        <v>518</v>
      </c>
      <c r="D216" s="326">
        <v>11500001177</v>
      </c>
      <c r="E216" s="336" t="s">
        <v>317</v>
      </c>
      <c r="F216" s="252" t="s">
        <v>440</v>
      </c>
      <c r="G216" s="460">
        <v>3209.6</v>
      </c>
      <c r="J216" s="388"/>
      <c r="K216" s="461"/>
    </row>
    <row r="217" spans="1:11" x14ac:dyDescent="0.25">
      <c r="A217" s="298"/>
      <c r="B217" s="454">
        <v>41962</v>
      </c>
      <c r="C217" s="507" t="s">
        <v>519</v>
      </c>
      <c r="D217" s="326">
        <v>11500001194</v>
      </c>
      <c r="E217" s="336" t="s">
        <v>317</v>
      </c>
      <c r="F217" s="252" t="s">
        <v>440</v>
      </c>
      <c r="G217" s="460">
        <v>2093.44</v>
      </c>
      <c r="I217" t="s">
        <v>365</v>
      </c>
    </row>
    <row r="218" spans="1:11" x14ac:dyDescent="0.25">
      <c r="A218" s="298"/>
      <c r="B218" s="454">
        <v>41969</v>
      </c>
      <c r="C218" s="507" t="s">
        <v>520</v>
      </c>
      <c r="D218" s="326">
        <v>11500001199</v>
      </c>
      <c r="E218" s="336" t="s">
        <v>317</v>
      </c>
      <c r="F218" s="252" t="s">
        <v>440</v>
      </c>
      <c r="G218" s="460">
        <v>1579.5</v>
      </c>
    </row>
    <row r="219" spans="1:11" x14ac:dyDescent="0.25">
      <c r="A219" s="298"/>
      <c r="B219" s="454">
        <v>41989</v>
      </c>
      <c r="C219" s="507" t="s">
        <v>521</v>
      </c>
      <c r="D219" s="326">
        <v>11500008795</v>
      </c>
      <c r="E219" s="336" t="s">
        <v>317</v>
      </c>
      <c r="F219" s="252" t="s">
        <v>440</v>
      </c>
      <c r="G219" s="460">
        <v>1905.9</v>
      </c>
    </row>
    <row r="220" spans="1:11" x14ac:dyDescent="0.25">
      <c r="A220" s="298"/>
      <c r="B220" s="454">
        <v>42412</v>
      </c>
      <c r="C220" s="507" t="s">
        <v>522</v>
      </c>
      <c r="D220" s="326">
        <v>11500001398</v>
      </c>
      <c r="E220" s="336" t="s">
        <v>317</v>
      </c>
      <c r="F220" s="252" t="s">
        <v>440</v>
      </c>
      <c r="G220" s="460">
        <v>41300</v>
      </c>
    </row>
    <row r="221" spans="1:11" ht="14.25" customHeight="1" x14ac:dyDescent="0.25">
      <c r="A221" s="298"/>
      <c r="B221" s="372"/>
      <c r="C221" s="507"/>
      <c r="D221" s="314"/>
      <c r="E221" s="336"/>
      <c r="F221" s="377" t="s">
        <v>419</v>
      </c>
      <c r="G221" s="319">
        <f>G216+G217+G218+G219+G220</f>
        <v>50088.44</v>
      </c>
      <c r="J221" t="s">
        <v>73</v>
      </c>
    </row>
    <row r="222" spans="1:11" ht="15.75" x14ac:dyDescent="0.25">
      <c r="A222" s="298"/>
      <c r="B222" s="776"/>
      <c r="C222" s="777"/>
      <c r="D222" s="778"/>
      <c r="E222" s="779" t="s">
        <v>917</v>
      </c>
      <c r="F222" s="780"/>
      <c r="G222" s="781"/>
    </row>
    <row r="223" spans="1:11" x14ac:dyDescent="0.25">
      <c r="A223" s="298"/>
      <c r="B223" s="372">
        <v>45894</v>
      </c>
      <c r="C223" s="246" t="s">
        <v>915</v>
      </c>
      <c r="D223" s="320" t="s">
        <v>916</v>
      </c>
      <c r="E223" s="336" t="s">
        <v>917</v>
      </c>
      <c r="F223" s="203" t="s">
        <v>1004</v>
      </c>
      <c r="G223" s="388">
        <v>59150</v>
      </c>
    </row>
    <row r="224" spans="1:11" x14ac:dyDescent="0.25">
      <c r="A224" s="298"/>
      <c r="B224" s="372">
        <v>45894</v>
      </c>
      <c r="C224" s="246" t="s">
        <v>918</v>
      </c>
      <c r="D224" s="320" t="s">
        <v>919</v>
      </c>
      <c r="E224" s="336" t="s">
        <v>917</v>
      </c>
      <c r="F224" s="203" t="s">
        <v>1004</v>
      </c>
      <c r="G224" s="388">
        <v>77400</v>
      </c>
    </row>
    <row r="225" spans="1:16" ht="15.75" x14ac:dyDescent="0.25">
      <c r="A225" s="298"/>
      <c r="B225" s="372"/>
      <c r="C225" s="507"/>
      <c r="D225" s="320"/>
      <c r="E225" s="361"/>
      <c r="F225" s="377" t="s">
        <v>419</v>
      </c>
      <c r="G225" s="319">
        <f>G223+G224</f>
        <v>136550</v>
      </c>
    </row>
    <row r="226" spans="1:16" ht="19.5" thickBot="1" x14ac:dyDescent="0.35">
      <c r="B226" s="585"/>
      <c r="C226" s="586"/>
      <c r="D226" s="586"/>
      <c r="E226" s="586"/>
      <c r="F226" s="587" t="s">
        <v>11</v>
      </c>
      <c r="G226" s="588">
        <f>G13+G17+G21+G30+G33+G36+G40+G43+G46+G49+G52+G57+G60+G67+G70+G73+G80+G83+G86+G90+G93+G99+G103+G114+G119+G122+G125+G132+G139+G142+G145+G149+G152+G155+G158+G170+G174+G179+G182+G188+G191+G194+G197+G210+G214+G185+G221+G225</f>
        <v>4002062.31</v>
      </c>
    </row>
    <row r="227" spans="1:16" x14ac:dyDescent="0.25">
      <c r="G227" s="265"/>
    </row>
    <row r="228" spans="1:16" x14ac:dyDescent="0.25">
      <c r="B228" s="462" t="s">
        <v>523</v>
      </c>
      <c r="C228" s="462"/>
      <c r="D228" s="462"/>
      <c r="E228" s="462"/>
      <c r="F228" s="462" t="s">
        <v>524</v>
      </c>
      <c r="G228" s="265" t="s">
        <v>525</v>
      </c>
    </row>
    <row r="229" spans="1:16" x14ac:dyDescent="0.25">
      <c r="B229" s="463" t="s">
        <v>526</v>
      </c>
      <c r="C229" s="462"/>
      <c r="D229" s="462"/>
      <c r="E229" s="462"/>
      <c r="F229" s="462" t="s">
        <v>527</v>
      </c>
    </row>
    <row r="231" spans="1:16" x14ac:dyDescent="0.25">
      <c r="B231" s="464"/>
      <c r="C231" s="464"/>
      <c r="D231" s="55"/>
      <c r="E231" s="465" t="s">
        <v>528</v>
      </c>
      <c r="F231" s="465"/>
      <c r="G231" s="55"/>
    </row>
    <row r="232" spans="1:16" x14ac:dyDescent="0.25">
      <c r="B232" s="464"/>
      <c r="C232" s="464"/>
      <c r="D232" s="55"/>
      <c r="E232" s="463" t="s">
        <v>529</v>
      </c>
      <c r="F232" s="465"/>
      <c r="G232" s="55"/>
      <c r="I232" t="s">
        <v>73</v>
      </c>
    </row>
    <row r="233" spans="1:16" x14ac:dyDescent="0.25">
      <c r="B233" s="289"/>
      <c r="C233" s="289"/>
      <c r="D233" s="289"/>
      <c r="E233" s="289"/>
      <c r="F233" s="289"/>
      <c r="G233" s="289"/>
    </row>
    <row r="234" spans="1:16" x14ac:dyDescent="0.25">
      <c r="B234" s="466" t="s">
        <v>530</v>
      </c>
      <c r="C234" s="467" t="s">
        <v>531</v>
      </c>
      <c r="D234" s="467"/>
      <c r="E234" s="467"/>
      <c r="F234" s="467"/>
      <c r="G234" s="467"/>
      <c r="H234" s="465"/>
    </row>
    <row r="235" spans="1:16" x14ac:dyDescent="0.25">
      <c r="B235" s="466"/>
      <c r="C235" s="467" t="s">
        <v>532</v>
      </c>
      <c r="D235" s="467"/>
      <c r="E235" s="467"/>
      <c r="F235" s="467"/>
      <c r="G235" s="467"/>
      <c r="H235" s="465"/>
    </row>
    <row r="236" spans="1:16" x14ac:dyDescent="0.25">
      <c r="B236" s="466"/>
      <c r="C236" s="467" t="s">
        <v>533</v>
      </c>
      <c r="D236" s="467"/>
      <c r="E236" s="467"/>
      <c r="F236" s="467"/>
      <c r="G236" s="467"/>
      <c r="H236" s="465"/>
    </row>
    <row r="237" spans="1:16" x14ac:dyDescent="0.25">
      <c r="B237" s="466" t="s">
        <v>534</v>
      </c>
      <c r="C237" s="467" t="s">
        <v>535</v>
      </c>
      <c r="D237" s="465"/>
      <c r="E237" s="465"/>
      <c r="F237" s="465"/>
      <c r="G237" s="465"/>
      <c r="H237" s="465"/>
    </row>
    <row r="238" spans="1:16" x14ac:dyDescent="0.25">
      <c r="B238" s="468"/>
      <c r="C238" s="467" t="s">
        <v>536</v>
      </c>
      <c r="D238" s="465"/>
      <c r="E238" s="465"/>
      <c r="F238" s="465"/>
      <c r="G238" s="465"/>
      <c r="H238" s="465"/>
    </row>
    <row r="239" spans="1:16" x14ac:dyDescent="0.25">
      <c r="C239" s="467" t="s">
        <v>537</v>
      </c>
      <c r="D239" s="465"/>
      <c r="E239" s="465"/>
      <c r="F239" s="465"/>
      <c r="G239" s="465"/>
      <c r="H239" s="465"/>
      <c r="P239" s="298"/>
    </row>
    <row r="240" spans="1:16" x14ac:dyDescent="0.25">
      <c r="B240" s="289" t="s">
        <v>538</v>
      </c>
      <c r="C240" s="467"/>
      <c r="D240" s="467"/>
      <c r="E240" s="467"/>
      <c r="F240" s="467"/>
      <c r="G240" s="467"/>
      <c r="H240" s="467"/>
    </row>
    <row r="241" spans="3:14" x14ac:dyDescent="0.25">
      <c r="C241" s="467"/>
      <c r="D241" s="467"/>
      <c r="E241" s="467"/>
      <c r="F241" s="467"/>
      <c r="G241" s="467"/>
      <c r="H241" s="467"/>
    </row>
    <row r="242" spans="3:14" x14ac:dyDescent="0.25">
      <c r="C242" s="467"/>
      <c r="D242" s="467"/>
      <c r="E242" s="467"/>
      <c r="F242" s="467"/>
      <c r="G242" s="467"/>
      <c r="H242" s="467"/>
    </row>
    <row r="243" spans="3:14" x14ac:dyDescent="0.25">
      <c r="C243" s="467"/>
      <c r="D243" s="467"/>
      <c r="E243" s="467"/>
      <c r="F243" s="467"/>
      <c r="G243" s="467"/>
      <c r="H243" s="467"/>
    </row>
    <row r="244" spans="3:14" x14ac:dyDescent="0.25">
      <c r="C244" s="467"/>
      <c r="D244" s="467"/>
      <c r="E244" s="467"/>
      <c r="F244" s="467"/>
      <c r="G244" s="467"/>
      <c r="H244" s="467"/>
    </row>
    <row r="245" spans="3:14" x14ac:dyDescent="0.25">
      <c r="C245" s="467"/>
      <c r="D245" s="467"/>
      <c r="E245" s="467"/>
      <c r="F245" s="467"/>
      <c r="G245" s="467"/>
      <c r="H245" s="467"/>
    </row>
    <row r="246" spans="3:14" x14ac:dyDescent="0.25">
      <c r="L246" s="265"/>
      <c r="M246" s="265"/>
      <c r="N246" s="265"/>
    </row>
    <row r="247" spans="3:14" x14ac:dyDescent="0.25">
      <c r="G247" t="s">
        <v>73</v>
      </c>
      <c r="L247" s="289"/>
      <c r="M247" s="289"/>
      <c r="N247" s="289"/>
    </row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734" customFormat="1" x14ac:dyDescent="0.25"/>
    <row r="749" spans="2:2" x14ac:dyDescent="0.25">
      <c r="B749" s="469" t="s">
        <v>539</v>
      </c>
    </row>
    <row r="776" customFormat="1" x14ac:dyDescent="0.25"/>
  </sheetData>
  <mergeCells count="6">
    <mergeCell ref="B5:G5"/>
    <mergeCell ref="B9:B10"/>
    <mergeCell ref="D9:D10"/>
    <mergeCell ref="E9:E10"/>
    <mergeCell ref="F9:F10"/>
    <mergeCell ref="G9:G10"/>
  </mergeCells>
  <conditionalFormatting sqref="B23">
    <cfRule type="duplicateValues" dxfId="82" priority="2" stopIfTrue="1"/>
  </conditionalFormatting>
  <conditionalFormatting sqref="B24">
    <cfRule type="duplicateValues" dxfId="81" priority="22" stopIfTrue="1"/>
  </conditionalFormatting>
  <conditionalFormatting sqref="B25:B26">
    <cfRule type="duplicateValues" dxfId="80" priority="33" stopIfTrue="1"/>
  </conditionalFormatting>
  <conditionalFormatting sqref="B27">
    <cfRule type="duplicateValues" dxfId="79" priority="9" stopIfTrue="1"/>
  </conditionalFormatting>
  <conditionalFormatting sqref="B28">
    <cfRule type="duplicateValues" dxfId="78" priority="6" stopIfTrue="1"/>
  </conditionalFormatting>
  <conditionalFormatting sqref="B29">
    <cfRule type="duplicateValues" dxfId="77" priority="4" stopIfTrue="1"/>
  </conditionalFormatting>
  <conditionalFormatting sqref="C11:C13">
    <cfRule type="duplicateValues" dxfId="76" priority="74" stopIfTrue="1"/>
  </conditionalFormatting>
  <conditionalFormatting sqref="C15:C16">
    <cfRule type="duplicateValues" dxfId="75" priority="83" stopIfTrue="1"/>
  </conditionalFormatting>
  <conditionalFormatting sqref="C17 C14">
    <cfRule type="duplicateValues" dxfId="74" priority="75" stopIfTrue="1"/>
  </conditionalFormatting>
  <conditionalFormatting sqref="C19">
    <cfRule type="duplicateValues" dxfId="73" priority="15" stopIfTrue="1"/>
  </conditionalFormatting>
  <conditionalFormatting sqref="C20">
    <cfRule type="duplicateValues" dxfId="72" priority="60" stopIfTrue="1"/>
    <cfRule type="duplicateValues" dxfId="71" priority="61" stopIfTrue="1"/>
  </conditionalFormatting>
  <conditionalFormatting sqref="C23">
    <cfRule type="duplicateValues" dxfId="70" priority="3" stopIfTrue="1"/>
  </conditionalFormatting>
  <conditionalFormatting sqref="C24">
    <cfRule type="duplicateValues" dxfId="69" priority="23" stopIfTrue="1"/>
  </conditionalFormatting>
  <conditionalFormatting sqref="C25:C26">
    <cfRule type="duplicateValues" dxfId="68" priority="34" stopIfTrue="1"/>
  </conditionalFormatting>
  <conditionalFormatting sqref="C27">
    <cfRule type="duplicateValues" dxfId="67" priority="10" stopIfTrue="1"/>
  </conditionalFormatting>
  <conditionalFormatting sqref="C28">
    <cfRule type="duplicateValues" dxfId="66" priority="7" stopIfTrue="1"/>
  </conditionalFormatting>
  <conditionalFormatting sqref="C29">
    <cfRule type="duplicateValues" dxfId="65" priority="5" stopIfTrue="1"/>
  </conditionalFormatting>
  <conditionalFormatting sqref="C31">
    <cfRule type="duplicateValues" dxfId="64" priority="82" stopIfTrue="1"/>
  </conditionalFormatting>
  <conditionalFormatting sqref="C32">
    <cfRule type="duplicateValues" dxfId="63" priority="29" stopIfTrue="1"/>
  </conditionalFormatting>
  <conditionalFormatting sqref="C34">
    <cfRule type="duplicateValues" dxfId="62" priority="25" stopIfTrue="1"/>
  </conditionalFormatting>
  <conditionalFormatting sqref="C35">
    <cfRule type="duplicateValues" dxfId="61" priority="24" stopIfTrue="1"/>
  </conditionalFormatting>
  <conditionalFormatting sqref="C36">
    <cfRule type="duplicateValues" dxfId="60" priority="81" stopIfTrue="1"/>
  </conditionalFormatting>
  <conditionalFormatting sqref="C37">
    <cfRule type="duplicateValues" dxfId="59" priority="43" stopIfTrue="1"/>
  </conditionalFormatting>
  <conditionalFormatting sqref="C38">
    <cfRule type="duplicateValues" dxfId="58" priority="40" stopIfTrue="1"/>
  </conditionalFormatting>
  <conditionalFormatting sqref="C39:C44">
    <cfRule type="duplicateValues" dxfId="57" priority="73" stopIfTrue="1"/>
  </conditionalFormatting>
  <conditionalFormatting sqref="C45:C46">
    <cfRule type="duplicateValues" dxfId="56" priority="76" stopIfTrue="1"/>
  </conditionalFormatting>
  <conditionalFormatting sqref="C47">
    <cfRule type="duplicateValues" dxfId="55" priority="50" stopIfTrue="1"/>
  </conditionalFormatting>
  <conditionalFormatting sqref="C48">
    <cfRule type="duplicateValues" dxfId="54" priority="21" stopIfTrue="1"/>
  </conditionalFormatting>
  <conditionalFormatting sqref="C51">
    <cfRule type="duplicateValues" dxfId="53" priority="8" stopIfTrue="1"/>
  </conditionalFormatting>
  <conditionalFormatting sqref="C53:C57">
    <cfRule type="duplicateValues" dxfId="52" priority="70" stopIfTrue="1"/>
  </conditionalFormatting>
  <conditionalFormatting sqref="C59">
    <cfRule type="duplicateValues" dxfId="51" priority="80" stopIfTrue="1"/>
  </conditionalFormatting>
  <conditionalFormatting sqref="C69">
    <cfRule type="duplicateValues" dxfId="50" priority="26" stopIfTrue="1"/>
  </conditionalFormatting>
  <conditionalFormatting sqref="C70 C68">
    <cfRule type="duplicateValues" dxfId="49" priority="27" stopIfTrue="1"/>
  </conditionalFormatting>
  <conditionalFormatting sqref="C72">
    <cfRule type="duplicateValues" dxfId="48" priority="38" stopIfTrue="1"/>
  </conditionalFormatting>
  <conditionalFormatting sqref="C73 C71">
    <cfRule type="duplicateValues" dxfId="47" priority="39" stopIfTrue="1"/>
  </conditionalFormatting>
  <conditionalFormatting sqref="C82">
    <cfRule type="duplicateValues" dxfId="46" priority="45" stopIfTrue="1"/>
  </conditionalFormatting>
  <conditionalFormatting sqref="C83 C81">
    <cfRule type="duplicateValues" dxfId="45" priority="46" stopIfTrue="1"/>
  </conditionalFormatting>
  <conditionalFormatting sqref="C88">
    <cfRule type="duplicateValues" dxfId="44" priority="20" stopIfTrue="1"/>
  </conditionalFormatting>
  <conditionalFormatting sqref="C89">
    <cfRule type="duplicateValues" dxfId="43" priority="16" stopIfTrue="1"/>
  </conditionalFormatting>
  <conditionalFormatting sqref="C92">
    <cfRule type="duplicateValues" dxfId="42" priority="63" stopIfTrue="1"/>
  </conditionalFormatting>
  <conditionalFormatting sqref="C95">
    <cfRule type="duplicateValues" dxfId="41" priority="49" stopIfTrue="1"/>
  </conditionalFormatting>
  <conditionalFormatting sqref="C96">
    <cfRule type="duplicateValues" dxfId="40" priority="48" stopIfTrue="1"/>
  </conditionalFormatting>
  <conditionalFormatting sqref="C97">
    <cfRule type="duplicateValues" dxfId="39" priority="47" stopIfTrue="1"/>
  </conditionalFormatting>
  <conditionalFormatting sqref="C101">
    <cfRule type="duplicateValues" dxfId="38" priority="41" stopIfTrue="1"/>
  </conditionalFormatting>
  <conditionalFormatting sqref="C102">
    <cfRule type="duplicateValues" dxfId="37" priority="37" stopIfTrue="1"/>
  </conditionalFormatting>
  <conditionalFormatting sqref="C115:C118">
    <cfRule type="duplicateValues" dxfId="36" priority="53" stopIfTrue="1"/>
  </conditionalFormatting>
  <conditionalFormatting sqref="C120:C122">
    <cfRule type="duplicateValues" dxfId="35" priority="59" stopIfTrue="1"/>
  </conditionalFormatting>
  <conditionalFormatting sqref="C123 C125">
    <cfRule type="duplicateValues" dxfId="34" priority="71" stopIfTrue="1"/>
  </conditionalFormatting>
  <conditionalFormatting sqref="C124">
    <cfRule type="duplicateValues" dxfId="33" priority="62" stopIfTrue="1"/>
  </conditionalFormatting>
  <conditionalFormatting sqref="C127">
    <cfRule type="duplicateValues" dxfId="32" priority="35" stopIfTrue="1"/>
  </conditionalFormatting>
  <conditionalFormatting sqref="C128:C129">
    <cfRule type="duplicateValues" dxfId="31" priority="36" stopIfTrue="1"/>
  </conditionalFormatting>
  <conditionalFormatting sqref="C130">
    <cfRule type="duplicateValues" dxfId="30" priority="1" stopIfTrue="1"/>
  </conditionalFormatting>
  <conditionalFormatting sqref="C131">
    <cfRule type="duplicateValues" dxfId="29" priority="42" stopIfTrue="1"/>
  </conditionalFormatting>
  <conditionalFormatting sqref="C140:C142">
    <cfRule type="duplicateValues" dxfId="28" priority="55" stopIfTrue="1"/>
  </conditionalFormatting>
  <conditionalFormatting sqref="C143:C144">
    <cfRule type="duplicateValues" dxfId="27" priority="52" stopIfTrue="1"/>
  </conditionalFormatting>
  <conditionalFormatting sqref="C147">
    <cfRule type="duplicateValues" dxfId="26" priority="28" stopIfTrue="1"/>
  </conditionalFormatting>
  <conditionalFormatting sqref="C148">
    <cfRule type="duplicateValues" dxfId="25" priority="32" stopIfTrue="1"/>
  </conditionalFormatting>
  <conditionalFormatting sqref="C151">
    <cfRule type="duplicateValues" dxfId="24" priority="14" stopIfTrue="1"/>
  </conditionalFormatting>
  <conditionalFormatting sqref="C153:C155">
    <cfRule type="duplicateValues" dxfId="23" priority="31" stopIfTrue="1"/>
  </conditionalFormatting>
  <conditionalFormatting sqref="C156:C158">
    <cfRule type="duplicateValues" dxfId="22" priority="72" stopIfTrue="1"/>
  </conditionalFormatting>
  <conditionalFormatting sqref="C161:C168">
    <cfRule type="duplicateValues" dxfId="21" priority="67" stopIfTrue="1"/>
  </conditionalFormatting>
  <conditionalFormatting sqref="C169">
    <cfRule type="duplicateValues" dxfId="20" priority="54" stopIfTrue="1"/>
  </conditionalFormatting>
  <conditionalFormatting sqref="C170">
    <cfRule type="duplicateValues" dxfId="19" priority="64" stopIfTrue="1"/>
  </conditionalFormatting>
  <conditionalFormatting sqref="C171:C174">
    <cfRule type="duplicateValues" dxfId="18" priority="68" stopIfTrue="1"/>
  </conditionalFormatting>
  <conditionalFormatting sqref="C180:C182">
    <cfRule type="duplicateValues" dxfId="17" priority="79" stopIfTrue="1"/>
  </conditionalFormatting>
  <conditionalFormatting sqref="C184">
    <cfRule type="duplicateValues" dxfId="16" priority="30" stopIfTrue="1"/>
  </conditionalFormatting>
  <conditionalFormatting sqref="C186">
    <cfRule type="duplicateValues" dxfId="15" priority="58" stopIfTrue="1"/>
  </conditionalFormatting>
  <conditionalFormatting sqref="C187">
    <cfRule type="duplicateValues" dxfId="14" priority="13" stopIfTrue="1"/>
  </conditionalFormatting>
  <conditionalFormatting sqref="C188">
    <cfRule type="duplicateValues" dxfId="13" priority="69" stopIfTrue="1"/>
  </conditionalFormatting>
  <conditionalFormatting sqref="C189:C190">
    <cfRule type="duplicateValues" dxfId="12" priority="51" stopIfTrue="1"/>
  </conditionalFormatting>
  <conditionalFormatting sqref="C193">
    <cfRule type="duplicateValues" dxfId="11" priority="17" stopIfTrue="1"/>
  </conditionalFormatting>
  <conditionalFormatting sqref="C195">
    <cfRule type="duplicateValues" dxfId="10" priority="11" stopIfTrue="1"/>
  </conditionalFormatting>
  <conditionalFormatting sqref="C196">
    <cfRule type="duplicateValues" dxfId="9" priority="78" stopIfTrue="1"/>
  </conditionalFormatting>
  <conditionalFormatting sqref="C197">
    <cfRule type="duplicateValues" dxfId="8" priority="12" stopIfTrue="1"/>
  </conditionalFormatting>
  <conditionalFormatting sqref="C209">
    <cfRule type="duplicateValues" dxfId="7" priority="66" stopIfTrue="1"/>
  </conditionalFormatting>
  <conditionalFormatting sqref="C212">
    <cfRule type="duplicateValues" dxfId="6" priority="65" stopIfTrue="1"/>
  </conditionalFormatting>
  <conditionalFormatting sqref="C223">
    <cfRule type="duplicateValues" dxfId="5" priority="19" stopIfTrue="1"/>
  </conditionalFormatting>
  <conditionalFormatting sqref="C224">
    <cfRule type="duplicateValues" dxfId="4" priority="18" stopIfTrue="1"/>
  </conditionalFormatting>
  <conditionalFormatting sqref="C225 C222">
    <cfRule type="duplicateValues" dxfId="3" priority="44" stopIfTrue="1"/>
  </conditionalFormatting>
  <conditionalFormatting sqref="C226:C64526 C164:C168 C1:C10 C210:C211 C21:C22 C194 C126 C175:C179 C60:C67 C198:C208 C149:C150 C52 C30 C33 C74:C80 C152 C213:C221 C58 C119 C49:C50 C18 C191:C192 C90:C91 C159 C84:C87 C185 C132:C139 C183 C93:C100 C145:C146 C103:C114">
    <cfRule type="duplicateValues" dxfId="2" priority="77" stopIfTrue="1"/>
  </conditionalFormatting>
  <conditionalFormatting sqref="F231">
    <cfRule type="duplicateValues" dxfId="1" priority="57" stopIfTrue="1"/>
  </conditionalFormatting>
  <conditionalFormatting sqref="F232">
    <cfRule type="duplicateValues" dxfId="0" priority="56" stopIfTrue="1"/>
  </conditionalFormatting>
  <pageMargins left="0.31496062992125984" right="0.31496062992125984" top="0.74803149606299213" bottom="0.74803149606299213" header="0.31496062992125984" footer="0.31496062992125984"/>
  <pageSetup scale="90" orientation="portrait" horizontalDpi="4294967293" verticalDpi="0" r:id="rId1"/>
  <rowBreaks count="7" manualBreakCount="7">
    <brk id="64" max="6" man="1"/>
    <brk id="115" max="6" man="1"/>
    <brk id="165" max="6" man="1"/>
    <brk id="214" max="6" man="1"/>
    <brk id="243" max="6" man="1"/>
    <brk id="297" max="6" man="1"/>
    <brk id="375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90"/>
  <sheetViews>
    <sheetView zoomScaleNormal="100" workbookViewId="0">
      <selection activeCell="A4" sqref="A4:O4"/>
    </sheetView>
  </sheetViews>
  <sheetFormatPr baseColWidth="10" defaultColWidth="9.140625" defaultRowHeight="15" x14ac:dyDescent="0.25"/>
  <cols>
    <col min="1" max="1" width="84.42578125" customWidth="1"/>
    <col min="2" max="5" width="13.85546875" customWidth="1"/>
    <col min="6" max="15" width="15.85546875" customWidth="1"/>
  </cols>
  <sheetData>
    <row r="1" spans="1:15" ht="18.75" x14ac:dyDescent="0.25">
      <c r="A1" s="827" t="s">
        <v>37</v>
      </c>
      <c r="B1" s="827"/>
      <c r="C1" s="827"/>
      <c r="D1" s="827"/>
      <c r="E1" s="827"/>
      <c r="F1" s="827"/>
      <c r="G1" s="827"/>
      <c r="H1" s="827"/>
      <c r="I1" s="827"/>
      <c r="J1" s="827"/>
      <c r="K1" s="827"/>
      <c r="L1" s="827"/>
      <c r="M1" s="827"/>
      <c r="N1" s="827"/>
      <c r="O1" s="827"/>
    </row>
    <row r="2" spans="1:15" ht="18.75" x14ac:dyDescent="0.25">
      <c r="A2" s="827" t="s">
        <v>321</v>
      </c>
      <c r="B2" s="827"/>
      <c r="C2" s="827"/>
      <c r="D2" s="827"/>
      <c r="E2" s="827"/>
      <c r="F2" s="827"/>
      <c r="G2" s="827"/>
      <c r="H2" s="827"/>
      <c r="I2" s="827"/>
      <c r="J2" s="827"/>
      <c r="K2" s="827"/>
      <c r="L2" s="827"/>
      <c r="M2" s="827"/>
      <c r="N2" s="827"/>
      <c r="O2" s="827"/>
    </row>
    <row r="3" spans="1:15" ht="18.75" x14ac:dyDescent="0.25">
      <c r="A3" s="827" t="s">
        <v>671</v>
      </c>
      <c r="B3" s="827"/>
      <c r="C3" s="827"/>
      <c r="D3" s="827"/>
      <c r="E3" s="827"/>
      <c r="F3" s="827"/>
      <c r="G3" s="827"/>
      <c r="H3" s="827"/>
      <c r="I3" s="827"/>
      <c r="J3" s="827"/>
      <c r="K3" s="827"/>
      <c r="L3" s="827"/>
      <c r="M3" s="827"/>
      <c r="N3" s="827"/>
      <c r="O3" s="827"/>
    </row>
    <row r="4" spans="1:15" ht="18.75" customHeight="1" x14ac:dyDescent="0.25">
      <c r="A4" s="828" t="s">
        <v>595</v>
      </c>
      <c r="B4" s="828"/>
      <c r="C4" s="828"/>
      <c r="D4" s="828"/>
      <c r="E4" s="828"/>
      <c r="F4" s="828"/>
      <c r="G4" s="828"/>
      <c r="H4" s="828"/>
      <c r="I4" s="828"/>
      <c r="J4" s="828"/>
      <c r="K4" s="828"/>
      <c r="L4" s="828"/>
      <c r="M4" s="828"/>
      <c r="N4" s="828"/>
      <c r="O4" s="828"/>
    </row>
    <row r="5" spans="1:15" x14ac:dyDescent="0.25">
      <c r="A5" s="829" t="s">
        <v>138</v>
      </c>
      <c r="B5" s="829"/>
      <c r="C5" s="829"/>
      <c r="D5" s="829"/>
      <c r="E5" s="829"/>
      <c r="F5" s="829"/>
      <c r="G5" s="829"/>
      <c r="H5" s="829"/>
      <c r="I5" s="829"/>
      <c r="J5" s="829"/>
      <c r="K5" s="829"/>
      <c r="L5" s="829"/>
      <c r="M5" s="829"/>
      <c r="N5" s="829"/>
      <c r="O5" s="829"/>
    </row>
    <row r="6" spans="1:15" x14ac:dyDescent="0.25">
      <c r="L6" s="55"/>
      <c r="M6" s="55"/>
      <c r="N6" s="55"/>
      <c r="O6" s="55"/>
    </row>
    <row r="7" spans="1:15" ht="48" customHeight="1" x14ac:dyDescent="0.25">
      <c r="A7" s="65" t="s">
        <v>139</v>
      </c>
      <c r="B7" s="830" t="s">
        <v>35</v>
      </c>
      <c r="C7" s="831"/>
      <c r="D7" s="831"/>
      <c r="E7" s="831"/>
      <c r="F7" s="832"/>
      <c r="G7" s="835" t="s">
        <v>140</v>
      </c>
      <c r="H7" s="835"/>
      <c r="I7" s="835"/>
      <c r="J7" s="835"/>
      <c r="K7" s="832"/>
      <c r="L7" s="836" t="s">
        <v>72</v>
      </c>
      <c r="M7" s="837"/>
      <c r="N7" s="837"/>
      <c r="O7" s="838"/>
    </row>
    <row r="8" spans="1:15" x14ac:dyDescent="0.25">
      <c r="A8" s="66" t="s">
        <v>141</v>
      </c>
      <c r="B8" s="67" t="s">
        <v>142</v>
      </c>
      <c r="C8" s="67" t="s">
        <v>143</v>
      </c>
      <c r="D8" s="67" t="s">
        <v>144</v>
      </c>
      <c r="E8" s="67" t="s">
        <v>145</v>
      </c>
      <c r="F8" s="833"/>
      <c r="G8" s="67" t="s">
        <v>142</v>
      </c>
      <c r="H8" s="67" t="s">
        <v>143</v>
      </c>
      <c r="I8" s="67" t="s">
        <v>144</v>
      </c>
      <c r="J8" s="67" t="s">
        <v>145</v>
      </c>
      <c r="K8" s="833"/>
      <c r="L8" s="67" t="s">
        <v>142</v>
      </c>
      <c r="M8" s="67" t="s">
        <v>143</v>
      </c>
      <c r="N8" s="67" t="s">
        <v>144</v>
      </c>
      <c r="O8" s="67" t="s">
        <v>145</v>
      </c>
    </row>
    <row r="9" spans="1:15" x14ac:dyDescent="0.25">
      <c r="A9" s="68" t="s">
        <v>146</v>
      </c>
      <c r="B9" s="69">
        <f>SUM(B10:B14)</f>
        <v>0</v>
      </c>
      <c r="C9" s="69">
        <f>SUM(C10:C14)</f>
        <v>0</v>
      </c>
      <c r="D9" s="69">
        <f>SUM(D10:D14)</f>
        <v>0</v>
      </c>
      <c r="E9" s="69">
        <f>SUM(E10:E14)</f>
        <v>0</v>
      </c>
      <c r="F9" s="833"/>
      <c r="G9" s="69">
        <f>SUM(G10:G14)</f>
        <v>3465184</v>
      </c>
      <c r="H9" s="69">
        <f>SUM(H10:H14)</f>
        <v>0</v>
      </c>
      <c r="I9" s="69">
        <f>SUM(I10:I14)</f>
        <v>0</v>
      </c>
      <c r="J9" s="69">
        <f>SUM(J10:J14)</f>
        <v>0</v>
      </c>
      <c r="K9" s="833"/>
      <c r="L9" s="70">
        <f t="shared" ref="L9:O10" si="0">SUM(B9+G9)</f>
        <v>3465184</v>
      </c>
      <c r="M9" s="70">
        <f t="shared" si="0"/>
        <v>0</v>
      </c>
      <c r="N9" s="70">
        <f t="shared" si="0"/>
        <v>0</v>
      </c>
      <c r="O9" s="70">
        <f t="shared" si="0"/>
        <v>0</v>
      </c>
    </row>
    <row r="10" spans="1:15" x14ac:dyDescent="0.25">
      <c r="A10" s="71" t="s">
        <v>147</v>
      </c>
      <c r="B10" s="72">
        <f>FR!C10+FR!D10+FR!E10</f>
        <v>0</v>
      </c>
      <c r="C10" s="72">
        <f>FR!F10+FR!G10+FR!H10</f>
        <v>0</v>
      </c>
      <c r="D10" s="72">
        <f>FR!I10+FR!J10+FR!K10</f>
        <v>0</v>
      </c>
      <c r="E10" s="72">
        <f>FR!L10+FR!M10+FR!N10</f>
        <v>0</v>
      </c>
      <c r="F10" s="833"/>
      <c r="G10" s="72">
        <f>VS!C10+VS!D10+VS!E10</f>
        <v>0</v>
      </c>
      <c r="H10" s="72">
        <f>VS!F10+VS!G10+VS!H10</f>
        <v>0</v>
      </c>
      <c r="I10" s="72">
        <f>VS!I10+VS!J10+VS!K10</f>
        <v>0</v>
      </c>
      <c r="J10" s="73">
        <f>VS!L10+VS!M10+VS!N10</f>
        <v>0</v>
      </c>
      <c r="K10" s="833"/>
      <c r="L10" s="15">
        <f t="shared" si="0"/>
        <v>0</v>
      </c>
      <c r="M10" s="15">
        <f t="shared" si="0"/>
        <v>0</v>
      </c>
      <c r="N10" s="15">
        <f t="shared" si="0"/>
        <v>0</v>
      </c>
      <c r="O10" s="15">
        <f t="shared" si="0"/>
        <v>0</v>
      </c>
    </row>
    <row r="11" spans="1:15" x14ac:dyDescent="0.25">
      <c r="A11" s="71" t="s">
        <v>148</v>
      </c>
      <c r="B11" s="72">
        <f>FR!C11+FR!D11+FR!E11</f>
        <v>0</v>
      </c>
      <c r="C11" s="72">
        <f>FR!F11+FR!G11+FR!H11</f>
        <v>0</v>
      </c>
      <c r="D11" s="72">
        <f>FR!I11+FR!J11+FR!K11</f>
        <v>0</v>
      </c>
      <c r="E11" s="72">
        <f>FR!L11+FR!M11+FR!N11</f>
        <v>0</v>
      </c>
      <c r="F11" s="833"/>
      <c r="G11" s="72">
        <f>VS!C11+VS!D11+VS!E11</f>
        <v>3465184</v>
      </c>
      <c r="H11" s="72">
        <f>VS!F11+VS!G11+VS!H11</f>
        <v>0</v>
      </c>
      <c r="I11" s="72">
        <f>VS!I11+VS!J11+VS!K11</f>
        <v>0</v>
      </c>
      <c r="J11" s="73">
        <f>VS!L11+VS!M11+VS!N11</f>
        <v>0</v>
      </c>
      <c r="K11" s="833"/>
      <c r="L11" s="15">
        <f t="shared" ref="L11:M14" si="1">SUM(B11+G11)</f>
        <v>3465184</v>
      </c>
      <c r="M11" s="15">
        <f t="shared" si="1"/>
        <v>0</v>
      </c>
      <c r="N11" s="15">
        <f t="shared" ref="N11:O14" si="2">SUM(D11+I11)</f>
        <v>0</v>
      </c>
      <c r="O11" s="15">
        <f t="shared" si="2"/>
        <v>0</v>
      </c>
    </row>
    <row r="12" spans="1:15" x14ac:dyDescent="0.25">
      <c r="A12" s="71" t="s">
        <v>149</v>
      </c>
      <c r="B12" s="72">
        <f>FR!C12+FR!D12+FR!E12</f>
        <v>0</v>
      </c>
      <c r="C12" s="72">
        <f>FR!F12+FR!G12+FR!H12</f>
        <v>0</v>
      </c>
      <c r="D12" s="72">
        <f>FR!I12+FR!J12+FR!K12</f>
        <v>0</v>
      </c>
      <c r="E12" s="72">
        <f>FR!L12+FR!M12+FR!N12</f>
        <v>0</v>
      </c>
      <c r="F12" s="833"/>
      <c r="G12" s="72">
        <f>VS!C12+VS!D12+VS!E12</f>
        <v>0</v>
      </c>
      <c r="H12" s="72">
        <f>VS!F12+VS!G12+VS!H12</f>
        <v>0</v>
      </c>
      <c r="I12" s="72">
        <f>VS!I12+VS!J12+VS!K12</f>
        <v>0</v>
      </c>
      <c r="J12" s="73">
        <f>VS!L12+VS!M12+VS!N12</f>
        <v>0</v>
      </c>
      <c r="K12" s="833"/>
      <c r="L12" s="15">
        <f t="shared" si="1"/>
        <v>0</v>
      </c>
      <c r="M12" s="15">
        <f t="shared" si="1"/>
        <v>0</v>
      </c>
      <c r="N12" s="15">
        <f t="shared" si="2"/>
        <v>0</v>
      </c>
      <c r="O12" s="15">
        <f t="shared" si="2"/>
        <v>0</v>
      </c>
    </row>
    <row r="13" spans="1:15" x14ac:dyDescent="0.25">
      <c r="A13" s="71" t="s">
        <v>150</v>
      </c>
      <c r="B13" s="72">
        <f>FR!C13+FR!D13+FR!E13</f>
        <v>0</v>
      </c>
      <c r="C13" s="72">
        <f>FR!F13+FR!G13+FR!H13</f>
        <v>0</v>
      </c>
      <c r="D13" s="72">
        <f>FR!I13+FR!J13+FR!K13</f>
        <v>0</v>
      </c>
      <c r="E13" s="72">
        <f>FR!L13+FR!M13+FR!N13</f>
        <v>0</v>
      </c>
      <c r="F13" s="833"/>
      <c r="G13" s="72">
        <f>VS!C13+VS!D13+VS!E13</f>
        <v>0</v>
      </c>
      <c r="H13" s="72">
        <f>VS!F13+VS!G13+VS!H13</f>
        <v>0</v>
      </c>
      <c r="I13" s="72">
        <f>VS!I13+VS!J13+VS!K13</f>
        <v>0</v>
      </c>
      <c r="J13" s="73">
        <f>VS!L13+VS!M13+VS!N13</f>
        <v>0</v>
      </c>
      <c r="K13" s="833"/>
      <c r="L13" s="15">
        <f t="shared" si="1"/>
        <v>0</v>
      </c>
      <c r="M13" s="15">
        <f t="shared" si="1"/>
        <v>0</v>
      </c>
      <c r="N13" s="15">
        <f t="shared" si="2"/>
        <v>0</v>
      </c>
      <c r="O13" s="15">
        <f t="shared" si="2"/>
        <v>0</v>
      </c>
    </row>
    <row r="14" spans="1:15" x14ac:dyDescent="0.25">
      <c r="A14" s="71" t="s">
        <v>151</v>
      </c>
      <c r="B14" s="72">
        <f>FR!C14+FR!D14+FR!E14</f>
        <v>0</v>
      </c>
      <c r="C14" s="72">
        <f>FR!F14+FR!G14+FR!H14</f>
        <v>0</v>
      </c>
      <c r="D14" s="72">
        <f>FR!I14+FR!J14+FR!K14</f>
        <v>0</v>
      </c>
      <c r="E14" s="72">
        <f>FR!L14+FR!M14+FR!N14</f>
        <v>0</v>
      </c>
      <c r="F14" s="833"/>
      <c r="G14" s="72">
        <f>VS!C14+VS!D14+VS!E14</f>
        <v>0</v>
      </c>
      <c r="H14" s="72">
        <f>VS!F14+VS!G14+VS!H14</f>
        <v>0</v>
      </c>
      <c r="I14" s="72">
        <f>VS!I14+VS!J14+VS!K14</f>
        <v>0</v>
      </c>
      <c r="J14" s="73">
        <f>VS!L14+VS!M14+VS!N14</f>
        <v>0</v>
      </c>
      <c r="K14" s="833"/>
      <c r="L14" s="15">
        <f t="shared" si="1"/>
        <v>0</v>
      </c>
      <c r="M14" s="15">
        <f t="shared" si="1"/>
        <v>0</v>
      </c>
      <c r="N14" s="15">
        <f t="shared" si="2"/>
        <v>0</v>
      </c>
      <c r="O14" s="15">
        <f t="shared" si="2"/>
        <v>0</v>
      </c>
    </row>
    <row r="15" spans="1:15" s="74" customFormat="1" x14ac:dyDescent="0.25">
      <c r="A15" s="68" t="s">
        <v>152</v>
      </c>
      <c r="B15" s="69">
        <f>SUM(B16:B24)</f>
        <v>514826.29</v>
      </c>
      <c r="C15" s="69">
        <f>SUM(C16:C24)</f>
        <v>340379.66</v>
      </c>
      <c r="D15" s="69">
        <f>SUM(D16:D24)</f>
        <v>0</v>
      </c>
      <c r="E15" s="69">
        <f>SUM(E16:E24)</f>
        <v>0</v>
      </c>
      <c r="F15" s="833"/>
      <c r="G15" s="69">
        <f>SUM(G16:G24)</f>
        <v>3373590.08</v>
      </c>
      <c r="H15" s="69">
        <f>SUM(H16:H24)</f>
        <v>2432472.54</v>
      </c>
      <c r="I15" s="69">
        <f>SUM(I16:I24)</f>
        <v>1238287.07</v>
      </c>
      <c r="J15" s="69">
        <f>SUM(J16:J24)</f>
        <v>0</v>
      </c>
      <c r="K15" s="833"/>
      <c r="L15" s="70">
        <f>SUM(B15+G15)</f>
        <v>3888416.37</v>
      </c>
      <c r="M15" s="70">
        <f t="shared" ref="M15:O30" si="3">SUM(C15+H15)</f>
        <v>2772852.2</v>
      </c>
      <c r="N15" s="70">
        <f t="shared" si="3"/>
        <v>1238287.07</v>
      </c>
      <c r="O15" s="70">
        <f t="shared" si="3"/>
        <v>0</v>
      </c>
    </row>
    <row r="16" spans="1:15" x14ac:dyDescent="0.25">
      <c r="A16" s="71" t="s">
        <v>153</v>
      </c>
      <c r="B16" s="72">
        <f>FR!C16+FR!D16+FR!E16</f>
        <v>400686.29</v>
      </c>
      <c r="C16" s="72">
        <f>FR!F16+FR!G16+FR!H16</f>
        <v>259579.65999999997</v>
      </c>
      <c r="D16" s="72">
        <f>FR!I16+FR!J16+FR!K16</f>
        <v>0</v>
      </c>
      <c r="E16" s="72">
        <f>FR!L16+FR!M16+FR!N16</f>
        <v>0</v>
      </c>
      <c r="F16" s="833"/>
      <c r="G16" s="72">
        <f>VS!C16+VS!D16+VS!E16</f>
        <v>789173.04</v>
      </c>
      <c r="H16" s="72">
        <f>VS!F16+VS!G16+VS!H16</f>
        <v>67746.39</v>
      </c>
      <c r="I16" s="72">
        <f>VS!I16+VS!J16+VS!K16</f>
        <v>53186.46</v>
      </c>
      <c r="J16" s="73">
        <f>VS!L16+VS!M16+VS!N16</f>
        <v>0</v>
      </c>
      <c r="K16" s="833"/>
      <c r="L16" s="15">
        <f t="shared" ref="L16:L24" si="4">SUM(B16+G16)</f>
        <v>1189859.33</v>
      </c>
      <c r="M16" s="15">
        <f t="shared" si="3"/>
        <v>327326.05</v>
      </c>
      <c r="N16" s="15">
        <f t="shared" si="3"/>
        <v>53186.46</v>
      </c>
      <c r="O16" s="15">
        <f t="shared" si="3"/>
        <v>0</v>
      </c>
    </row>
    <row r="17" spans="1:15" x14ac:dyDescent="0.25">
      <c r="A17" s="71" t="s">
        <v>154</v>
      </c>
      <c r="B17" s="72">
        <f>FR!C17+FR!D17+FR!E17</f>
        <v>0</v>
      </c>
      <c r="C17" s="72">
        <f>FR!F17+FR!G17+FR!H17</f>
        <v>0</v>
      </c>
      <c r="D17" s="72">
        <f>FR!I17+FR!J17+FR!K17</f>
        <v>0</v>
      </c>
      <c r="E17" s="72">
        <f>FR!L17+FR!M17+FR!N17</f>
        <v>0</v>
      </c>
      <c r="F17" s="833"/>
      <c r="G17" s="72">
        <f>VS!C17+VS!D17+VS!E17</f>
        <v>569021.99</v>
      </c>
      <c r="H17" s="72">
        <f>VS!F17+VS!G17+VS!H17</f>
        <v>364148</v>
      </c>
      <c r="I17" s="72">
        <f>VS!I17+VS!J17+VS!K17</f>
        <v>408744.92000000004</v>
      </c>
      <c r="J17" s="73">
        <f>VS!L17+VS!M17+VS!N17</f>
        <v>0</v>
      </c>
      <c r="K17" s="833"/>
      <c r="L17" s="15">
        <f t="shared" si="4"/>
        <v>569021.99</v>
      </c>
      <c r="M17" s="15">
        <f t="shared" si="3"/>
        <v>364148</v>
      </c>
      <c r="N17" s="15">
        <f t="shared" si="3"/>
        <v>408744.92000000004</v>
      </c>
      <c r="O17" s="15">
        <f t="shared" si="3"/>
        <v>0</v>
      </c>
    </row>
    <row r="18" spans="1:15" x14ac:dyDescent="0.25">
      <c r="A18" s="71" t="s">
        <v>155</v>
      </c>
      <c r="B18" s="72">
        <f>FR!C18+FR!D18+FR!E18</f>
        <v>110010</v>
      </c>
      <c r="C18" s="72">
        <f>FR!F18+FR!G18+FR!H18</f>
        <v>80800</v>
      </c>
      <c r="D18" s="72">
        <f>FR!I18+FR!J18+FR!K18</f>
        <v>0</v>
      </c>
      <c r="E18" s="72">
        <f>FR!L18+FR!M18+FR!N18</f>
        <v>0</v>
      </c>
      <c r="F18" s="833"/>
      <c r="G18" s="72">
        <f>VS!C18+VS!D18+VS!E18</f>
        <v>0</v>
      </c>
      <c r="H18" s="72">
        <f>VS!F18+VS!G18+VS!H18</f>
        <v>0</v>
      </c>
      <c r="I18" s="72">
        <f>VS!I18+VS!J18+VS!K18</f>
        <v>0</v>
      </c>
      <c r="J18" s="73">
        <f>VS!L18+VS!M18+VS!N18</f>
        <v>0</v>
      </c>
      <c r="K18" s="833"/>
      <c r="L18" s="15">
        <f t="shared" si="4"/>
        <v>110010</v>
      </c>
      <c r="M18" s="15">
        <f t="shared" si="3"/>
        <v>80800</v>
      </c>
      <c r="N18" s="15">
        <f t="shared" si="3"/>
        <v>0</v>
      </c>
      <c r="O18" s="15">
        <f t="shared" si="3"/>
        <v>0</v>
      </c>
    </row>
    <row r="19" spans="1:15" x14ac:dyDescent="0.25">
      <c r="A19" s="71" t="s">
        <v>156</v>
      </c>
      <c r="B19" s="72">
        <f>FR!C19+FR!D19+FR!E19</f>
        <v>0</v>
      </c>
      <c r="C19" s="72">
        <f>FR!F19+FR!G19+FR!H19</f>
        <v>0</v>
      </c>
      <c r="D19" s="72">
        <f>FR!I19+FR!J19+FR!K19</f>
        <v>0</v>
      </c>
      <c r="E19" s="72">
        <f>FR!L19+FR!M19+FR!N19</f>
        <v>0</v>
      </c>
      <c r="F19" s="833"/>
      <c r="G19" s="72">
        <f>VS!C19+VS!D19+VS!E19</f>
        <v>62441.5</v>
      </c>
      <c r="H19" s="72">
        <f>VS!F19+VS!G19+VS!H19</f>
        <v>0</v>
      </c>
      <c r="I19" s="72">
        <f>VS!I19+VS!J19+VS!K19</f>
        <v>0</v>
      </c>
      <c r="J19" s="73">
        <f>VS!L19+VS!M19+VS!N19</f>
        <v>0</v>
      </c>
      <c r="K19" s="833"/>
      <c r="L19" s="15">
        <f t="shared" si="4"/>
        <v>62441.5</v>
      </c>
      <c r="M19" s="15">
        <f t="shared" si="3"/>
        <v>0</v>
      </c>
      <c r="N19" s="15">
        <f t="shared" si="3"/>
        <v>0</v>
      </c>
      <c r="O19" s="15">
        <f t="shared" si="3"/>
        <v>0</v>
      </c>
    </row>
    <row r="20" spans="1:15" x14ac:dyDescent="0.25">
      <c r="A20" s="71" t="s">
        <v>157</v>
      </c>
      <c r="B20" s="72">
        <f>FR!C20+FR!D20+FR!E20</f>
        <v>0</v>
      </c>
      <c r="C20" s="72">
        <f>FR!F20+FR!G20+FR!H20</f>
        <v>0</v>
      </c>
      <c r="D20" s="72">
        <f>FR!I20+FR!J20+FR!K20</f>
        <v>0</v>
      </c>
      <c r="E20" s="72">
        <f>FR!L20+FR!M20+FR!N20</f>
        <v>0</v>
      </c>
      <c r="F20" s="833"/>
      <c r="G20" s="72">
        <f>VS!C20+VS!D20+VS!E20</f>
        <v>106830</v>
      </c>
      <c r="H20" s="72">
        <f>VS!F20+VS!G20+VS!H20</f>
        <v>86000</v>
      </c>
      <c r="I20" s="72">
        <f>VS!I20+VS!J20+VS!K20</f>
        <v>70136.540000000008</v>
      </c>
      <c r="J20" s="73">
        <f>VS!L20+VS!M20+VS!N20</f>
        <v>0</v>
      </c>
      <c r="K20" s="833"/>
      <c r="L20" s="15">
        <f t="shared" si="4"/>
        <v>106830</v>
      </c>
      <c r="M20" s="15">
        <f t="shared" si="3"/>
        <v>86000</v>
      </c>
      <c r="N20" s="15">
        <f t="shared" si="3"/>
        <v>70136.540000000008</v>
      </c>
      <c r="O20" s="15">
        <f t="shared" si="3"/>
        <v>0</v>
      </c>
    </row>
    <row r="21" spans="1:15" x14ac:dyDescent="0.25">
      <c r="A21" s="71" t="s">
        <v>158</v>
      </c>
      <c r="B21" s="72">
        <f>FR!C21+FR!D21+FR!E21</f>
        <v>0</v>
      </c>
      <c r="C21" s="72">
        <f>FR!F21+FR!G21+FR!H21</f>
        <v>0</v>
      </c>
      <c r="D21" s="72">
        <f>FR!I21+FR!J21+FR!K21</f>
        <v>0</v>
      </c>
      <c r="E21" s="72">
        <f>FR!L21+FR!M21+FR!N21</f>
        <v>0</v>
      </c>
      <c r="F21" s="833"/>
      <c r="G21" s="72">
        <f>VS!C21+VS!D21+VS!E21</f>
        <v>100000</v>
      </c>
      <c r="H21" s="72">
        <f>VS!F21+VS!G21+VS!H21</f>
        <v>299999.99</v>
      </c>
      <c r="I21" s="72">
        <f>VS!I21+VS!J21+VS!K21</f>
        <v>0</v>
      </c>
      <c r="J21" s="73">
        <f>VS!L21+VS!M21+VS!N21</f>
        <v>0</v>
      </c>
      <c r="K21" s="833"/>
      <c r="L21" s="15">
        <f t="shared" si="4"/>
        <v>100000</v>
      </c>
      <c r="M21" s="15">
        <f t="shared" si="3"/>
        <v>299999.99</v>
      </c>
      <c r="N21" s="15">
        <f t="shared" si="3"/>
        <v>0</v>
      </c>
      <c r="O21" s="15">
        <f t="shared" si="3"/>
        <v>0</v>
      </c>
    </row>
    <row r="22" spans="1:15" ht="30" x14ac:dyDescent="0.25">
      <c r="A22" s="71" t="s">
        <v>159</v>
      </c>
      <c r="B22" s="72">
        <f>FR!C22+FR!D22+FR!E22</f>
        <v>4130</v>
      </c>
      <c r="C22" s="72">
        <f>FR!F22+FR!G22+FR!H22</f>
        <v>0</v>
      </c>
      <c r="D22" s="72">
        <f>FR!I22+FR!J22+FR!K22</f>
        <v>0</v>
      </c>
      <c r="E22" s="72">
        <f>FR!L22+FR!M22+FR!N22</f>
        <v>0</v>
      </c>
      <c r="F22" s="833"/>
      <c r="G22" s="72">
        <f>VS!C22+VS!D22+VS!E22</f>
        <v>602542.12</v>
      </c>
      <c r="H22" s="72">
        <f>VS!F22+VS!G22+VS!H22</f>
        <v>510314.62</v>
      </c>
      <c r="I22" s="72">
        <f>VS!I22+VS!J22+VS!K22</f>
        <v>254099.5</v>
      </c>
      <c r="J22" s="73">
        <f>VS!L22+VS!M22+VS!N22</f>
        <v>0</v>
      </c>
      <c r="K22" s="833"/>
      <c r="L22" s="15">
        <f t="shared" si="4"/>
        <v>606672.12</v>
      </c>
      <c r="M22" s="15">
        <f t="shared" si="3"/>
        <v>510314.62</v>
      </c>
      <c r="N22" s="15">
        <f t="shared" si="3"/>
        <v>254099.5</v>
      </c>
      <c r="O22" s="15">
        <f>SUM(E22+J22)</f>
        <v>0</v>
      </c>
    </row>
    <row r="23" spans="1:15" x14ac:dyDescent="0.25">
      <c r="A23" s="71" t="s">
        <v>160</v>
      </c>
      <c r="B23" s="72">
        <f>FR!C23+FR!D23+FR!E23</f>
        <v>0</v>
      </c>
      <c r="C23" s="72">
        <f>FR!F23+FR!G23+FR!H23</f>
        <v>0</v>
      </c>
      <c r="D23" s="72">
        <f>FR!I23+FR!J23+FR!K23</f>
        <v>0</v>
      </c>
      <c r="E23" s="72">
        <f>FR!L23+FR!M23+FR!N23</f>
        <v>0</v>
      </c>
      <c r="F23" s="833"/>
      <c r="G23" s="72">
        <f>VS!C23+VS!D23+VS!E23</f>
        <v>779846.42999999993</v>
      </c>
      <c r="H23" s="72">
        <f>VS!F23+VS!G23+VS!H23</f>
        <v>754136.5</v>
      </c>
      <c r="I23" s="72">
        <f>VS!I23+VS!J23+VS!K23</f>
        <v>216000</v>
      </c>
      <c r="J23" s="73">
        <f>VS!L23+VS!M23+VS!N23</f>
        <v>0</v>
      </c>
      <c r="K23" s="833"/>
      <c r="L23" s="15">
        <f t="shared" si="4"/>
        <v>779846.42999999993</v>
      </c>
      <c r="M23" s="15">
        <f t="shared" si="3"/>
        <v>754136.5</v>
      </c>
      <c r="N23" s="15">
        <f t="shared" si="3"/>
        <v>216000</v>
      </c>
      <c r="O23" s="15">
        <f t="shared" si="3"/>
        <v>0</v>
      </c>
    </row>
    <row r="24" spans="1:15" x14ac:dyDescent="0.25">
      <c r="A24" s="71" t="s">
        <v>161</v>
      </c>
      <c r="B24" s="72">
        <f>FR!C24+FR!D24+FR!E24</f>
        <v>0</v>
      </c>
      <c r="C24" s="72">
        <f>FR!F24+FR!G24+FR!H24</f>
        <v>0</v>
      </c>
      <c r="D24" s="72">
        <f>FR!I24+FR!J24+FR!K24</f>
        <v>0</v>
      </c>
      <c r="E24" s="72">
        <f>FR!L24+FR!M24+FR!N24</f>
        <v>0</v>
      </c>
      <c r="F24" s="833"/>
      <c r="G24" s="72">
        <f>VS!C24+VS!D24+VS!E24</f>
        <v>363735</v>
      </c>
      <c r="H24" s="72">
        <f>VS!F24+VS!G24+VS!H24</f>
        <v>350127.04</v>
      </c>
      <c r="I24" s="72">
        <f>VS!I24+VS!J24+VS!K24</f>
        <v>236119.65</v>
      </c>
      <c r="J24" s="73">
        <f>VS!L24+VS!M24+VS!N24</f>
        <v>0</v>
      </c>
      <c r="K24" s="833"/>
      <c r="L24" s="15">
        <f t="shared" si="4"/>
        <v>363735</v>
      </c>
      <c r="M24" s="15">
        <f t="shared" si="3"/>
        <v>350127.04</v>
      </c>
      <c r="N24" s="15">
        <f t="shared" si="3"/>
        <v>236119.65</v>
      </c>
      <c r="O24" s="15">
        <f t="shared" si="3"/>
        <v>0</v>
      </c>
    </row>
    <row r="25" spans="1:15" s="74" customFormat="1" x14ac:dyDescent="0.25">
      <c r="A25" s="68" t="s">
        <v>162</v>
      </c>
      <c r="B25" s="69">
        <f>SUM(B26:B34)</f>
        <v>6973367.4199999999</v>
      </c>
      <c r="C25" s="69">
        <f>SUM(C26:C34)</f>
        <v>4651768.3099999996</v>
      </c>
      <c r="D25" s="69">
        <f>SUM(D26:D34)</f>
        <v>0</v>
      </c>
      <c r="E25" s="69">
        <f>SUM(E26:E34)</f>
        <v>0</v>
      </c>
      <c r="F25" s="833"/>
      <c r="G25" s="69">
        <f>SUM(G26:G34)</f>
        <v>13144188.74</v>
      </c>
      <c r="H25" s="69">
        <f>SUM(H26:H34)</f>
        <v>10906070.460000001</v>
      </c>
      <c r="I25" s="69">
        <f>SUM(I26:I34)</f>
        <v>6527927.6599999992</v>
      </c>
      <c r="J25" s="69">
        <f>SUM(J26:J34)</f>
        <v>0</v>
      </c>
      <c r="K25" s="833"/>
      <c r="L25" s="70">
        <f t="shared" ref="L25:L43" si="5">SUM(B25+G25)</f>
        <v>20117556.16</v>
      </c>
      <c r="M25" s="70">
        <f t="shared" si="3"/>
        <v>15557838.77</v>
      </c>
      <c r="N25" s="70">
        <f t="shared" si="3"/>
        <v>6527927.6599999992</v>
      </c>
      <c r="O25" s="70">
        <f t="shared" si="3"/>
        <v>0</v>
      </c>
    </row>
    <row r="26" spans="1:15" x14ac:dyDescent="0.25">
      <c r="A26" s="71" t="s">
        <v>163</v>
      </c>
      <c r="B26" s="72">
        <f>FR!C26+FR!D26+FR!E26</f>
        <v>248192</v>
      </c>
      <c r="C26" s="72">
        <f>FR!F26+FR!G26+FR!H26</f>
        <v>176103</v>
      </c>
      <c r="D26" s="72">
        <f>FR!I26+FR!J26+FR!K26</f>
        <v>0</v>
      </c>
      <c r="E26" s="72">
        <f>FR!L26+FR!M26+FR!N26</f>
        <v>0</v>
      </c>
      <c r="F26" s="833"/>
      <c r="G26" s="72">
        <f>VS!C26+VS!D26+VS!E26</f>
        <v>1196744.8199999998</v>
      </c>
      <c r="H26" s="72">
        <f>VS!F26+VS!G26+VS!H26</f>
        <v>1027090.2</v>
      </c>
      <c r="I26" s="72">
        <f>VS!I26+VS!J26+VS!K26</f>
        <v>935147.66999999993</v>
      </c>
      <c r="J26" s="73">
        <f>VS!L26+VS!M26+VS!N26</f>
        <v>0</v>
      </c>
      <c r="K26" s="833"/>
      <c r="L26" s="15">
        <f t="shared" si="5"/>
        <v>1444936.8199999998</v>
      </c>
      <c r="M26" s="15">
        <f t="shared" si="3"/>
        <v>1203193.2</v>
      </c>
      <c r="N26" s="15">
        <f t="shared" si="3"/>
        <v>935147.66999999993</v>
      </c>
      <c r="O26" s="15">
        <f t="shared" si="3"/>
        <v>0</v>
      </c>
    </row>
    <row r="27" spans="1:15" x14ac:dyDescent="0.25">
      <c r="A27" s="71" t="s">
        <v>164</v>
      </c>
      <c r="B27" s="72">
        <f>FR!C27+FR!D27+FR!E27</f>
        <v>0</v>
      </c>
      <c r="C27" s="72">
        <f>FR!F27+FR!G27+FR!H27</f>
        <v>0</v>
      </c>
      <c r="D27" s="72">
        <f>FR!I27+FR!J27+FR!K27</f>
        <v>0</v>
      </c>
      <c r="E27" s="72">
        <f>FR!L27+FR!M27+FR!N27</f>
        <v>0</v>
      </c>
      <c r="F27" s="833"/>
      <c r="G27" s="72">
        <f>VS!C27+VS!D27+VS!E27</f>
        <v>0</v>
      </c>
      <c r="H27" s="72">
        <f>VS!F27+VS!G27+VS!H27</f>
        <v>120314.56</v>
      </c>
      <c r="I27" s="72">
        <f>VS!I27+VS!J27+VS!K27</f>
        <v>950</v>
      </c>
      <c r="J27" s="73">
        <f>VS!L27+VS!M27+VS!N27</f>
        <v>0</v>
      </c>
      <c r="K27" s="833"/>
      <c r="L27" s="15">
        <f t="shared" si="5"/>
        <v>0</v>
      </c>
      <c r="M27" s="15">
        <f t="shared" si="3"/>
        <v>120314.56</v>
      </c>
      <c r="N27" s="15">
        <f t="shared" si="3"/>
        <v>950</v>
      </c>
      <c r="O27" s="15">
        <f t="shared" si="3"/>
        <v>0</v>
      </c>
    </row>
    <row r="28" spans="1:15" x14ac:dyDescent="0.25">
      <c r="A28" s="71" t="s">
        <v>165</v>
      </c>
      <c r="B28" s="72">
        <f>FR!C28+FR!D28+FR!E28</f>
        <v>0</v>
      </c>
      <c r="C28" s="72">
        <f>FR!F28+FR!G28+FR!H28</f>
        <v>0</v>
      </c>
      <c r="D28" s="72">
        <f>FR!I28+FR!J28+FR!K28</f>
        <v>0</v>
      </c>
      <c r="E28" s="72">
        <f>FR!L28+FR!M28+FR!N28</f>
        <v>0</v>
      </c>
      <c r="F28" s="833"/>
      <c r="G28" s="72">
        <f>VS!C28+VS!D28+VS!E28</f>
        <v>234930.56999999998</v>
      </c>
      <c r="H28" s="72">
        <f>VS!F28+VS!G28+VS!H28</f>
        <v>232746.84</v>
      </c>
      <c r="I28" s="72">
        <f>VS!I28+VS!J28+VS!K28</f>
        <v>283350.24</v>
      </c>
      <c r="J28" s="73">
        <f>VS!L28+VS!M28+VS!N28</f>
        <v>0</v>
      </c>
      <c r="K28" s="833"/>
      <c r="L28" s="15">
        <f t="shared" si="5"/>
        <v>234930.56999999998</v>
      </c>
      <c r="M28" s="15">
        <f t="shared" si="3"/>
        <v>232746.84</v>
      </c>
      <c r="N28" s="15">
        <f t="shared" si="3"/>
        <v>283350.24</v>
      </c>
      <c r="O28" s="15">
        <f t="shared" si="3"/>
        <v>0</v>
      </c>
    </row>
    <row r="29" spans="1:15" x14ac:dyDescent="0.25">
      <c r="A29" s="71" t="s">
        <v>166</v>
      </c>
      <c r="B29" s="72">
        <f>FR!C29+FR!D29+FR!E29</f>
        <v>3083768.6799999997</v>
      </c>
      <c r="C29" s="72">
        <f>FR!F29+FR!G29+FR!H29</f>
        <v>1462710.04</v>
      </c>
      <c r="D29" s="72">
        <f>FR!I29+FR!J29+FR!K29</f>
        <v>0</v>
      </c>
      <c r="E29" s="72">
        <f>FR!L29+FR!M29+FR!N29</f>
        <v>0</v>
      </c>
      <c r="F29" s="833"/>
      <c r="G29" s="72">
        <f>VS!C29+VS!D29+VS!E29</f>
        <v>1896434.32</v>
      </c>
      <c r="H29" s="72">
        <f>VS!F29+VS!G29+VS!H29</f>
        <v>1615333.1</v>
      </c>
      <c r="I29" s="72">
        <f>VS!I29+VS!J29+VS!K29</f>
        <v>508753.61</v>
      </c>
      <c r="J29" s="73">
        <f>VS!L29+VS!M29+VS!N29</f>
        <v>0</v>
      </c>
      <c r="K29" s="833"/>
      <c r="L29" s="15">
        <f t="shared" si="5"/>
        <v>4980203</v>
      </c>
      <c r="M29" s="15">
        <f t="shared" si="3"/>
        <v>3078043.14</v>
      </c>
      <c r="N29" s="15">
        <f t="shared" si="3"/>
        <v>508753.61</v>
      </c>
      <c r="O29" s="15">
        <f t="shared" si="3"/>
        <v>0</v>
      </c>
    </row>
    <row r="30" spans="1:15" x14ac:dyDescent="0.25">
      <c r="A30" s="71" t="s">
        <v>167</v>
      </c>
      <c r="B30" s="72">
        <f>FR!C30+FR!D30+FR!E30</f>
        <v>0</v>
      </c>
      <c r="C30" s="72">
        <f>FR!F30+FR!G30+FR!H30</f>
        <v>0</v>
      </c>
      <c r="D30" s="72">
        <f>FR!I30+FR!J30+FR!K30</f>
        <v>0</v>
      </c>
      <c r="E30" s="72">
        <f>FR!L30+FR!M30+FR!N30</f>
        <v>0</v>
      </c>
      <c r="F30" s="833"/>
      <c r="G30" s="72">
        <f>VS!C30+VS!D30+VS!E30</f>
        <v>0</v>
      </c>
      <c r="H30" s="72">
        <f>VS!F30+VS!G30+VS!H30</f>
        <v>14435.53</v>
      </c>
      <c r="I30" s="72">
        <f>VS!I30+VS!J30+VS!K30</f>
        <v>70997.929999999993</v>
      </c>
      <c r="J30" s="73">
        <f>VS!L30+VS!M30+VS!N30</f>
        <v>0</v>
      </c>
      <c r="K30" s="833"/>
      <c r="L30" s="15">
        <f t="shared" si="5"/>
        <v>0</v>
      </c>
      <c r="M30" s="15">
        <f t="shared" si="3"/>
        <v>14435.53</v>
      </c>
      <c r="N30" s="15">
        <f t="shared" si="3"/>
        <v>70997.929999999993</v>
      </c>
      <c r="O30" s="15">
        <f t="shared" si="3"/>
        <v>0</v>
      </c>
    </row>
    <row r="31" spans="1:15" x14ac:dyDescent="0.25">
      <c r="A31" s="71" t="s">
        <v>168</v>
      </c>
      <c r="B31" s="72">
        <f>FR!C31+FR!D31+FR!E31</f>
        <v>0</v>
      </c>
      <c r="C31" s="72">
        <f>FR!F31+FR!G31+FR!H31</f>
        <v>0</v>
      </c>
      <c r="D31" s="72">
        <f>FR!I31+FR!J31+FR!K31</f>
        <v>0</v>
      </c>
      <c r="E31" s="72">
        <f>FR!L31+FR!M31+FR!N31</f>
        <v>0</v>
      </c>
      <c r="F31" s="833"/>
      <c r="G31" s="72">
        <f>VS!C31+VS!D31+VS!E31</f>
        <v>51948.800000000003</v>
      </c>
      <c r="H31" s="72">
        <f>VS!F31+VS!G31+VS!H31</f>
        <v>39629.979999999996</v>
      </c>
      <c r="I31" s="72">
        <f>VS!I31+VS!J31+VS!K31</f>
        <v>34199.86</v>
      </c>
      <c r="J31" s="73">
        <f>VS!L31+VS!M31+VS!N31</f>
        <v>0</v>
      </c>
      <c r="K31" s="833"/>
      <c r="L31" s="15">
        <f t="shared" si="5"/>
        <v>51948.800000000003</v>
      </c>
      <c r="M31" s="15">
        <f t="shared" ref="M31:O34" si="6">SUM(C31+H31)</f>
        <v>39629.979999999996</v>
      </c>
      <c r="N31" s="15">
        <f t="shared" si="6"/>
        <v>34199.86</v>
      </c>
      <c r="O31" s="15">
        <f t="shared" si="6"/>
        <v>0</v>
      </c>
    </row>
    <row r="32" spans="1:15" x14ac:dyDescent="0.25">
      <c r="A32" s="71" t="s">
        <v>169</v>
      </c>
      <c r="B32" s="72">
        <f>FR!C32+FR!D32+FR!E32</f>
        <v>2335026.88</v>
      </c>
      <c r="C32" s="72">
        <f>FR!F32+FR!G32+FR!H32</f>
        <v>1861026.8399999999</v>
      </c>
      <c r="D32" s="72">
        <f>FR!I32+FR!J32+FR!K32</f>
        <v>0</v>
      </c>
      <c r="E32" s="72">
        <f>FR!L32+FR!M32+FR!N32</f>
        <v>0</v>
      </c>
      <c r="F32" s="833"/>
      <c r="G32" s="72">
        <f>VS!C32+VS!D32+VS!E32</f>
        <v>7389229.4600000009</v>
      </c>
      <c r="H32" s="72">
        <f>VS!F32+VS!G32+VS!H32</f>
        <v>5820667.21</v>
      </c>
      <c r="I32" s="72">
        <f>VS!I32+VS!J32+VS!K32</f>
        <v>4012104.21</v>
      </c>
      <c r="J32" s="73">
        <f>VS!L32+VS!M32+VS!N32</f>
        <v>0</v>
      </c>
      <c r="K32" s="833"/>
      <c r="L32" s="15">
        <f t="shared" si="5"/>
        <v>9724256.3399999999</v>
      </c>
      <c r="M32" s="15">
        <f t="shared" si="6"/>
        <v>7681694.0499999998</v>
      </c>
      <c r="N32" s="15">
        <f t="shared" si="6"/>
        <v>4012104.21</v>
      </c>
      <c r="O32" s="15">
        <f t="shared" si="6"/>
        <v>0</v>
      </c>
    </row>
    <row r="33" spans="1:15" x14ac:dyDescent="0.25">
      <c r="A33" s="71" t="s">
        <v>170</v>
      </c>
      <c r="B33" s="72">
        <f>FR!C33+FR!D33+FR!E33</f>
        <v>0</v>
      </c>
      <c r="C33" s="72">
        <f>FR!F33+FR!G33+FR!H33</f>
        <v>0</v>
      </c>
      <c r="D33" s="72">
        <f>FR!I33+FR!J33+FR!K33</f>
        <v>0</v>
      </c>
      <c r="E33" s="72">
        <f>FR!L33+FR!M33+FR!N33</f>
        <v>0</v>
      </c>
      <c r="F33" s="833"/>
      <c r="G33" s="72">
        <f>VS!C33+VS!D33+VS!E33</f>
        <v>0</v>
      </c>
      <c r="H33" s="72">
        <f>VS!F33+VS!G33+VS!H33</f>
        <v>0</v>
      </c>
      <c r="I33" s="72">
        <f>VS!I33+VS!J33+VS!K33</f>
        <v>0</v>
      </c>
      <c r="J33" s="73">
        <f>VS!L33+VS!M33+VS!N33</f>
        <v>0</v>
      </c>
      <c r="K33" s="833"/>
      <c r="L33" s="15">
        <f t="shared" si="5"/>
        <v>0</v>
      </c>
      <c r="M33" s="15">
        <f t="shared" si="6"/>
        <v>0</v>
      </c>
      <c r="N33" s="15">
        <f t="shared" si="6"/>
        <v>0</v>
      </c>
      <c r="O33" s="15">
        <f t="shared" si="6"/>
        <v>0</v>
      </c>
    </row>
    <row r="34" spans="1:15" x14ac:dyDescent="0.25">
      <c r="A34" s="71" t="s">
        <v>171</v>
      </c>
      <c r="B34" s="72">
        <f>FR!C34+FR!D34+FR!E34</f>
        <v>1306379.8599999999</v>
      </c>
      <c r="C34" s="72">
        <f>FR!F34+FR!G34+FR!H34</f>
        <v>1151928.43</v>
      </c>
      <c r="D34" s="72">
        <f>FR!I34+FR!J34+FR!K34</f>
        <v>0</v>
      </c>
      <c r="E34" s="72">
        <f>FR!L34+FR!M34+FR!N34</f>
        <v>0</v>
      </c>
      <c r="F34" s="833"/>
      <c r="G34" s="72">
        <f>VS!C34+VS!D34+VS!E34</f>
        <v>2374900.77</v>
      </c>
      <c r="H34" s="72">
        <f>VS!F34+VS!G34+VS!H34</f>
        <v>2035853.04</v>
      </c>
      <c r="I34" s="72">
        <f>VS!I34+VS!J34+VS!K34</f>
        <v>682424.14</v>
      </c>
      <c r="J34" s="73">
        <f>VS!L34+VS!M34+VS!N34</f>
        <v>0</v>
      </c>
      <c r="K34" s="833"/>
      <c r="L34" s="15">
        <f t="shared" si="5"/>
        <v>3681280.63</v>
      </c>
      <c r="M34" s="15">
        <f t="shared" si="6"/>
        <v>3187781.4699999997</v>
      </c>
      <c r="N34" s="15">
        <f t="shared" si="6"/>
        <v>682424.14</v>
      </c>
      <c r="O34" s="15">
        <f t="shared" si="6"/>
        <v>0</v>
      </c>
    </row>
    <row r="35" spans="1:15" s="74" customFormat="1" x14ac:dyDescent="0.25">
      <c r="A35" s="68" t="s">
        <v>172</v>
      </c>
      <c r="B35" s="69">
        <f>SUM(B36:B42)</f>
        <v>0</v>
      </c>
      <c r="C35" s="69">
        <f>SUM(C36:C42)</f>
        <v>0</v>
      </c>
      <c r="D35" s="69">
        <f>SUM(D36:D42)</f>
        <v>0</v>
      </c>
      <c r="E35" s="69">
        <f>SUM(E36:E42)</f>
        <v>0</v>
      </c>
      <c r="F35" s="833"/>
      <c r="G35" s="69">
        <f>SUM(G36:G42)</f>
        <v>0</v>
      </c>
      <c r="H35" s="69">
        <f>SUM(H36:H42)</f>
        <v>0</v>
      </c>
      <c r="I35" s="69">
        <f>SUM(I36:I42)</f>
        <v>0</v>
      </c>
      <c r="J35" s="69">
        <f>SUM(J36:J42)</f>
        <v>0</v>
      </c>
      <c r="K35" s="833"/>
      <c r="L35" s="70">
        <f t="shared" si="5"/>
        <v>0</v>
      </c>
      <c r="M35" s="70">
        <f t="shared" ref="M35:O36" si="7">SUM(C35+H35)</f>
        <v>0</v>
      </c>
      <c r="N35" s="70">
        <f t="shared" si="7"/>
        <v>0</v>
      </c>
      <c r="O35" s="70">
        <f t="shared" si="7"/>
        <v>0</v>
      </c>
    </row>
    <row r="36" spans="1:15" x14ac:dyDescent="0.25">
      <c r="A36" s="71" t="s">
        <v>173</v>
      </c>
      <c r="B36" s="72">
        <f>FR!C36+FR!D36+FR!E36</f>
        <v>0</v>
      </c>
      <c r="C36" s="72">
        <f>FR!F36+FR!G36+FR!H36</f>
        <v>0</v>
      </c>
      <c r="D36" s="72">
        <f>FR!I36+FR!J36+FR!K36</f>
        <v>0</v>
      </c>
      <c r="E36" s="72">
        <f>FR!L36+FR!M36+FR!N36</f>
        <v>0</v>
      </c>
      <c r="F36" s="833"/>
      <c r="G36" s="72">
        <f>VS!C36+VS!D36+VS!E36</f>
        <v>0</v>
      </c>
      <c r="H36" s="72">
        <f>VS!F36+VS!G36+VS!H36</f>
        <v>0</v>
      </c>
      <c r="I36" s="72">
        <f>VS!I36+VS!J36+VS!K36</f>
        <v>0</v>
      </c>
      <c r="J36" s="73">
        <f>VS!L36+VS!M36+VS!N36</f>
        <v>0</v>
      </c>
      <c r="K36" s="833"/>
      <c r="L36" s="15">
        <f t="shared" si="5"/>
        <v>0</v>
      </c>
      <c r="M36" s="15">
        <f t="shared" si="7"/>
        <v>0</v>
      </c>
      <c r="N36" s="15">
        <f t="shared" si="7"/>
        <v>0</v>
      </c>
      <c r="O36" s="15">
        <f t="shared" si="7"/>
        <v>0</v>
      </c>
    </row>
    <row r="37" spans="1:15" x14ac:dyDescent="0.25">
      <c r="A37" s="71" t="s">
        <v>174</v>
      </c>
      <c r="B37" s="72">
        <f>FR!C37+FR!D37+FR!E37</f>
        <v>0</v>
      </c>
      <c r="C37" s="72">
        <f>FR!F37+FR!G37+FR!H37</f>
        <v>0</v>
      </c>
      <c r="D37" s="72">
        <f>FR!I37+FR!J37+FR!K37</f>
        <v>0</v>
      </c>
      <c r="E37" s="72">
        <f>FR!L37+FR!M37+FR!N37</f>
        <v>0</v>
      </c>
      <c r="F37" s="833"/>
      <c r="G37" s="72">
        <f>VS!C37+VS!D37+VS!E37</f>
        <v>0</v>
      </c>
      <c r="H37" s="72">
        <f>VS!F37+VS!G37+VS!H37</f>
        <v>0</v>
      </c>
      <c r="I37" s="72">
        <f>VS!I37+VS!J37+VS!K37</f>
        <v>0</v>
      </c>
      <c r="J37" s="73">
        <f>VS!L37+VS!M37+VS!N37</f>
        <v>0</v>
      </c>
      <c r="K37" s="833"/>
      <c r="L37" s="15">
        <f t="shared" si="5"/>
        <v>0</v>
      </c>
      <c r="M37" s="15">
        <f t="shared" ref="M37:O52" si="8">SUM(C37+H37)</f>
        <v>0</v>
      </c>
      <c r="N37" s="15">
        <f t="shared" si="8"/>
        <v>0</v>
      </c>
      <c r="O37" s="15">
        <f t="shared" si="8"/>
        <v>0</v>
      </c>
    </row>
    <row r="38" spans="1:15" x14ac:dyDescent="0.25">
      <c r="A38" s="71" t="s">
        <v>175</v>
      </c>
      <c r="B38" s="72">
        <f>FR!C38+FR!D38+FR!E38</f>
        <v>0</v>
      </c>
      <c r="C38" s="72">
        <f>FR!F38+FR!G38+FR!H38</f>
        <v>0</v>
      </c>
      <c r="D38" s="72">
        <f>FR!I38+FR!J38+FR!K38</f>
        <v>0</v>
      </c>
      <c r="E38" s="72">
        <f>FR!L38+FR!M38+FR!N38</f>
        <v>0</v>
      </c>
      <c r="F38" s="833"/>
      <c r="G38" s="72">
        <f>VS!C38+VS!D38+VS!E38</f>
        <v>0</v>
      </c>
      <c r="H38" s="72">
        <f>VS!F38+VS!G38+VS!H38</f>
        <v>0</v>
      </c>
      <c r="I38" s="72">
        <f>VS!I38+VS!J38+VS!K38</f>
        <v>0</v>
      </c>
      <c r="J38" s="73">
        <f>VS!L38+VS!M38+VS!N38</f>
        <v>0</v>
      </c>
      <c r="K38" s="833"/>
      <c r="L38" s="15">
        <f t="shared" si="5"/>
        <v>0</v>
      </c>
      <c r="M38" s="15">
        <f t="shared" si="8"/>
        <v>0</v>
      </c>
      <c r="N38" s="15">
        <f t="shared" si="8"/>
        <v>0</v>
      </c>
      <c r="O38" s="15">
        <f t="shared" si="8"/>
        <v>0</v>
      </c>
    </row>
    <row r="39" spans="1:15" x14ac:dyDescent="0.25">
      <c r="A39" s="71" t="s">
        <v>176</v>
      </c>
      <c r="B39" s="72">
        <f>FR!C39+FR!D39+FR!E39</f>
        <v>0</v>
      </c>
      <c r="C39" s="72">
        <f>FR!F39+FR!G39+FR!H39</f>
        <v>0</v>
      </c>
      <c r="D39" s="72">
        <f>FR!I39+FR!J39+FR!K39</f>
        <v>0</v>
      </c>
      <c r="E39" s="72">
        <f>FR!L39+FR!M39+FR!N39</f>
        <v>0</v>
      </c>
      <c r="F39" s="833"/>
      <c r="G39" s="72">
        <f>VS!C39+VS!D39+VS!E39</f>
        <v>0</v>
      </c>
      <c r="H39" s="72">
        <f>VS!F39+VS!G39+VS!H39</f>
        <v>0</v>
      </c>
      <c r="I39" s="72">
        <f>VS!I39+VS!J39+VS!K39</f>
        <v>0</v>
      </c>
      <c r="J39" s="73">
        <f>VS!L39+VS!M39+VS!N39</f>
        <v>0</v>
      </c>
      <c r="K39" s="833"/>
      <c r="L39" s="15">
        <f t="shared" si="5"/>
        <v>0</v>
      </c>
      <c r="M39" s="15">
        <f t="shared" si="8"/>
        <v>0</v>
      </c>
      <c r="N39" s="15">
        <f t="shared" si="8"/>
        <v>0</v>
      </c>
      <c r="O39" s="15">
        <f t="shared" si="8"/>
        <v>0</v>
      </c>
    </row>
    <row r="40" spans="1:15" x14ac:dyDescent="0.25">
      <c r="A40" s="71" t="s">
        <v>177</v>
      </c>
      <c r="B40" s="72">
        <f>FR!C40+FR!D40+FR!E40</f>
        <v>0</v>
      </c>
      <c r="C40" s="72">
        <f>FR!F40+FR!G40+FR!H40</f>
        <v>0</v>
      </c>
      <c r="D40" s="72">
        <f>FR!I40+FR!J40+FR!K40</f>
        <v>0</v>
      </c>
      <c r="E40" s="72">
        <f>FR!L40+FR!M40+FR!N40</f>
        <v>0</v>
      </c>
      <c r="F40" s="833"/>
      <c r="G40" s="72">
        <f>VS!C40+VS!D40+VS!E40</f>
        <v>0</v>
      </c>
      <c r="H40" s="72">
        <f>VS!F40+VS!G40+VS!H40</f>
        <v>0</v>
      </c>
      <c r="I40" s="72">
        <f>VS!I40+VS!J40+VS!K40</f>
        <v>0</v>
      </c>
      <c r="J40" s="73">
        <f>VS!L40+VS!M40+VS!N40</f>
        <v>0</v>
      </c>
      <c r="K40" s="833"/>
      <c r="L40" s="15">
        <f t="shared" si="5"/>
        <v>0</v>
      </c>
      <c r="M40" s="15">
        <f t="shared" si="8"/>
        <v>0</v>
      </c>
      <c r="N40" s="15">
        <f t="shared" si="8"/>
        <v>0</v>
      </c>
      <c r="O40" s="15">
        <f t="shared" si="8"/>
        <v>0</v>
      </c>
    </row>
    <row r="41" spans="1:15" x14ac:dyDescent="0.25">
      <c r="A41" s="71" t="s">
        <v>178</v>
      </c>
      <c r="B41" s="72">
        <f>FR!C41+FR!D41+FR!E41</f>
        <v>0</v>
      </c>
      <c r="C41" s="72">
        <f>FR!F41+FR!G41+FR!H41</f>
        <v>0</v>
      </c>
      <c r="D41" s="72">
        <f>FR!I41+FR!J41+FR!K41</f>
        <v>0</v>
      </c>
      <c r="E41" s="72">
        <f>FR!L41+FR!M41+FR!N41</f>
        <v>0</v>
      </c>
      <c r="F41" s="833"/>
      <c r="G41" s="72">
        <f>VS!C41+VS!D41+VS!E41</f>
        <v>0</v>
      </c>
      <c r="H41" s="72">
        <f>VS!F41+VS!G41+VS!H41</f>
        <v>0</v>
      </c>
      <c r="I41" s="72">
        <f>VS!I41+VS!J41+VS!K41</f>
        <v>0</v>
      </c>
      <c r="J41" s="73">
        <f>VS!L41+VS!M41+VS!N41</f>
        <v>0</v>
      </c>
      <c r="K41" s="833"/>
      <c r="L41" s="15">
        <f t="shared" si="5"/>
        <v>0</v>
      </c>
      <c r="M41" s="15">
        <f t="shared" si="8"/>
        <v>0</v>
      </c>
      <c r="N41" s="15">
        <f t="shared" si="8"/>
        <v>0</v>
      </c>
      <c r="O41" s="15">
        <f t="shared" si="8"/>
        <v>0</v>
      </c>
    </row>
    <row r="42" spans="1:15" x14ac:dyDescent="0.25">
      <c r="A42" s="71" t="s">
        <v>179</v>
      </c>
      <c r="B42" s="72">
        <f>FR!C42+FR!D42+FR!E42</f>
        <v>0</v>
      </c>
      <c r="C42" s="72">
        <f>FR!F42+FR!G42+FR!H42</f>
        <v>0</v>
      </c>
      <c r="D42" s="72">
        <f>FR!I42+FR!J42+FR!K42</f>
        <v>0</v>
      </c>
      <c r="E42" s="72">
        <f>FR!L42+FR!M42+FR!N42</f>
        <v>0</v>
      </c>
      <c r="F42" s="833"/>
      <c r="G42" s="72">
        <f>VS!C42+VS!D42+VS!E42</f>
        <v>0</v>
      </c>
      <c r="H42" s="72">
        <f>VS!F42+VS!G42+VS!H42</f>
        <v>0</v>
      </c>
      <c r="I42" s="72">
        <f>VS!I42+VS!J42+VS!K42</f>
        <v>0</v>
      </c>
      <c r="J42" s="73">
        <f>VS!L42+VS!M42+VS!N42</f>
        <v>0</v>
      </c>
      <c r="K42" s="833"/>
      <c r="L42" s="15">
        <f t="shared" si="5"/>
        <v>0</v>
      </c>
      <c r="M42" s="15">
        <f t="shared" si="8"/>
        <v>0</v>
      </c>
      <c r="N42" s="15">
        <f t="shared" si="8"/>
        <v>0</v>
      </c>
      <c r="O42" s="15">
        <f t="shared" si="8"/>
        <v>0</v>
      </c>
    </row>
    <row r="43" spans="1:15" x14ac:dyDescent="0.25">
      <c r="A43" s="68" t="s">
        <v>180</v>
      </c>
      <c r="B43" s="69">
        <f>SUM(B44:B50)</f>
        <v>0</v>
      </c>
      <c r="C43" s="69">
        <f>SUM(C44:C50)</f>
        <v>0</v>
      </c>
      <c r="D43" s="69">
        <f>SUM(D44:D50)</f>
        <v>0</v>
      </c>
      <c r="E43" s="69">
        <f>SUM(E44:E50)</f>
        <v>0</v>
      </c>
      <c r="F43" s="833"/>
      <c r="G43" s="69">
        <f>SUM(G44:G50)</f>
        <v>0</v>
      </c>
      <c r="H43" s="69">
        <f>SUM(H44:H50)</f>
        <v>0</v>
      </c>
      <c r="I43" s="69">
        <f>SUM(I44:I50)</f>
        <v>0</v>
      </c>
      <c r="J43" s="69">
        <f>SUM(J44:J50)</f>
        <v>0</v>
      </c>
      <c r="K43" s="833"/>
      <c r="L43" s="70">
        <f t="shared" si="5"/>
        <v>0</v>
      </c>
      <c r="M43" s="70">
        <f t="shared" si="8"/>
        <v>0</v>
      </c>
      <c r="N43" s="70">
        <f>SUM(D43+I43)</f>
        <v>0</v>
      </c>
      <c r="O43" s="70">
        <f>SUM(E43+J43)</f>
        <v>0</v>
      </c>
    </row>
    <row r="44" spans="1:15" x14ac:dyDescent="0.25">
      <c r="A44" s="71" t="s">
        <v>181</v>
      </c>
      <c r="B44" s="72">
        <f>FR!C44+FR!D44+FR!E44</f>
        <v>0</v>
      </c>
      <c r="C44" s="72">
        <f>FR!D44+FR!E44+FR!F44</f>
        <v>0</v>
      </c>
      <c r="D44" s="72">
        <f>FR!E44+FR!F44+FR!G44</f>
        <v>0</v>
      </c>
      <c r="E44" s="72">
        <f>FR!F44+FR!G44+FR!H44</f>
        <v>0</v>
      </c>
      <c r="F44" s="833"/>
      <c r="G44" s="72">
        <f>VS!C44+VS!D44+VS!E44</f>
        <v>0</v>
      </c>
      <c r="H44" s="72">
        <f>VS!F44+VS!G44+VS!H44</f>
        <v>0</v>
      </c>
      <c r="I44" s="72">
        <f>VS!I44+VS!J44+VS!K44</f>
        <v>0</v>
      </c>
      <c r="J44" s="73">
        <f>VS!L44+VS!M44+VS!N44</f>
        <v>0</v>
      </c>
      <c r="K44" s="833"/>
      <c r="L44" s="15">
        <f t="shared" ref="L44:L50" si="9">SUM(B44+G44)</f>
        <v>0</v>
      </c>
      <c r="M44" s="15">
        <f t="shared" si="8"/>
        <v>0</v>
      </c>
      <c r="N44" s="15">
        <f t="shared" si="8"/>
        <v>0</v>
      </c>
      <c r="O44" s="15">
        <f t="shared" si="8"/>
        <v>0</v>
      </c>
    </row>
    <row r="45" spans="1:15" x14ac:dyDescent="0.25">
      <c r="A45" s="71" t="s">
        <v>182</v>
      </c>
      <c r="B45" s="72">
        <f>FR!C45+FR!D45+FR!E45</f>
        <v>0</v>
      </c>
      <c r="C45" s="72">
        <f>FR!D45+FR!E45+FR!F45</f>
        <v>0</v>
      </c>
      <c r="D45" s="72">
        <f>FR!E45+FR!F45+FR!G45</f>
        <v>0</v>
      </c>
      <c r="E45" s="72">
        <f>FR!F45+FR!G45+FR!H45</f>
        <v>0</v>
      </c>
      <c r="F45" s="833"/>
      <c r="G45" s="72">
        <f>VS!C45+VS!D45+VS!E45</f>
        <v>0</v>
      </c>
      <c r="H45" s="72">
        <f>VS!F45+VS!G45+VS!H45</f>
        <v>0</v>
      </c>
      <c r="I45" s="72">
        <f>VS!I45+VS!J45+VS!K45</f>
        <v>0</v>
      </c>
      <c r="J45" s="73">
        <f>VS!L45+VS!M45+VS!N45</f>
        <v>0</v>
      </c>
      <c r="K45" s="833"/>
      <c r="L45" s="15">
        <f t="shared" si="9"/>
        <v>0</v>
      </c>
      <c r="M45" s="15">
        <f t="shared" si="8"/>
        <v>0</v>
      </c>
      <c r="N45" s="15">
        <f t="shared" si="8"/>
        <v>0</v>
      </c>
      <c r="O45" s="15">
        <f t="shared" si="8"/>
        <v>0</v>
      </c>
    </row>
    <row r="46" spans="1:15" x14ac:dyDescent="0.25">
      <c r="A46" s="71" t="s">
        <v>183</v>
      </c>
      <c r="B46" s="72">
        <f>FR!C46+FR!D46+FR!E46</f>
        <v>0</v>
      </c>
      <c r="C46" s="72">
        <f>FR!D46+FR!E46+FR!F46</f>
        <v>0</v>
      </c>
      <c r="D46" s="72">
        <f>FR!E46+FR!F46+FR!G46</f>
        <v>0</v>
      </c>
      <c r="E46" s="72">
        <f>FR!F46+FR!G46+FR!H46</f>
        <v>0</v>
      </c>
      <c r="F46" s="833"/>
      <c r="G46" s="72">
        <f>VS!C46+VS!D46+VS!E46</f>
        <v>0</v>
      </c>
      <c r="H46" s="72">
        <f>VS!F46+VS!G46+VS!H46</f>
        <v>0</v>
      </c>
      <c r="I46" s="72">
        <f>VS!I46+VS!J46+VS!K46</f>
        <v>0</v>
      </c>
      <c r="J46" s="73">
        <f>VS!L46+VS!M46+VS!N46</f>
        <v>0</v>
      </c>
      <c r="K46" s="833"/>
      <c r="L46" s="15">
        <f t="shared" si="9"/>
        <v>0</v>
      </c>
      <c r="M46" s="15">
        <f t="shared" si="8"/>
        <v>0</v>
      </c>
      <c r="N46" s="15">
        <f t="shared" si="8"/>
        <v>0</v>
      </c>
      <c r="O46" s="15">
        <f t="shared" si="8"/>
        <v>0</v>
      </c>
    </row>
    <row r="47" spans="1:15" x14ac:dyDescent="0.25">
      <c r="A47" s="71" t="s">
        <v>184</v>
      </c>
      <c r="B47" s="72">
        <f>FR!C47+FR!D47+FR!E47</f>
        <v>0</v>
      </c>
      <c r="C47" s="72">
        <f>FR!D47+FR!E47+FR!F47</f>
        <v>0</v>
      </c>
      <c r="D47" s="72">
        <f>FR!E47+FR!F47+FR!G47</f>
        <v>0</v>
      </c>
      <c r="E47" s="72">
        <f>FR!F47+FR!G47+FR!H47</f>
        <v>0</v>
      </c>
      <c r="F47" s="833"/>
      <c r="G47" s="72">
        <f>VS!C47+VS!D47+VS!E47</f>
        <v>0</v>
      </c>
      <c r="H47" s="72">
        <f>VS!F47+VS!G47+VS!H47</f>
        <v>0</v>
      </c>
      <c r="I47" s="72">
        <f>VS!I47+VS!J47+VS!K47</f>
        <v>0</v>
      </c>
      <c r="J47" s="73">
        <f>VS!L47+VS!M47+VS!N47</f>
        <v>0</v>
      </c>
      <c r="K47" s="833"/>
      <c r="L47" s="15">
        <f t="shared" si="9"/>
        <v>0</v>
      </c>
      <c r="M47" s="15">
        <f t="shared" si="8"/>
        <v>0</v>
      </c>
      <c r="N47" s="15">
        <f t="shared" si="8"/>
        <v>0</v>
      </c>
      <c r="O47" s="15">
        <f t="shared" si="8"/>
        <v>0</v>
      </c>
    </row>
    <row r="48" spans="1:15" x14ac:dyDescent="0.25">
      <c r="A48" s="71" t="s">
        <v>185</v>
      </c>
      <c r="B48" s="72">
        <f>FR!C48+FR!D48+FR!E48</f>
        <v>0</v>
      </c>
      <c r="C48" s="72">
        <f>FR!D48+FR!E48+FR!F48</f>
        <v>0</v>
      </c>
      <c r="D48" s="72">
        <f>FR!E48+FR!F48+FR!G48</f>
        <v>0</v>
      </c>
      <c r="E48" s="72">
        <f>FR!F48+FR!G48+FR!H48</f>
        <v>0</v>
      </c>
      <c r="F48" s="833"/>
      <c r="G48" s="72">
        <f>VS!C48+VS!D48+VS!E48</f>
        <v>0</v>
      </c>
      <c r="H48" s="72">
        <f>VS!F48+VS!G48+VS!H48</f>
        <v>0</v>
      </c>
      <c r="I48" s="72">
        <f>VS!I48+VS!J48+VS!K48</f>
        <v>0</v>
      </c>
      <c r="J48" s="73">
        <f>VS!L48+VS!M48+VS!N48</f>
        <v>0</v>
      </c>
      <c r="K48" s="833"/>
      <c r="L48" s="15">
        <f t="shared" si="9"/>
        <v>0</v>
      </c>
      <c r="M48" s="15">
        <f t="shared" si="8"/>
        <v>0</v>
      </c>
      <c r="N48" s="15">
        <f t="shared" si="8"/>
        <v>0</v>
      </c>
      <c r="O48" s="15">
        <f t="shared" si="8"/>
        <v>0</v>
      </c>
    </row>
    <row r="49" spans="1:15" x14ac:dyDescent="0.25">
      <c r="A49" s="71" t="s">
        <v>186</v>
      </c>
      <c r="B49" s="72">
        <f>FR!C49+FR!D49+FR!E49</f>
        <v>0</v>
      </c>
      <c r="C49" s="72">
        <f>FR!D49+FR!E49+FR!F49</f>
        <v>0</v>
      </c>
      <c r="D49" s="72">
        <f>FR!E49+FR!F49+FR!G49</f>
        <v>0</v>
      </c>
      <c r="E49" s="72">
        <f>FR!F49+FR!G49+FR!H49</f>
        <v>0</v>
      </c>
      <c r="F49" s="833"/>
      <c r="G49" s="72">
        <f>VS!C49+VS!D49+VS!E49</f>
        <v>0</v>
      </c>
      <c r="H49" s="72">
        <f>VS!F49+VS!G49+VS!H49</f>
        <v>0</v>
      </c>
      <c r="I49" s="72">
        <f>VS!I49+VS!J49+VS!K49</f>
        <v>0</v>
      </c>
      <c r="J49" s="73">
        <f>VS!L49+VS!M49+VS!N49</f>
        <v>0</v>
      </c>
      <c r="K49" s="833"/>
      <c r="L49" s="15">
        <f t="shared" si="9"/>
        <v>0</v>
      </c>
      <c r="M49" s="15">
        <f t="shared" si="8"/>
        <v>0</v>
      </c>
      <c r="N49" s="15">
        <f t="shared" si="8"/>
        <v>0</v>
      </c>
      <c r="O49" s="15">
        <f t="shared" si="8"/>
        <v>0</v>
      </c>
    </row>
    <row r="50" spans="1:15" x14ac:dyDescent="0.25">
      <c r="A50" s="71" t="s">
        <v>187</v>
      </c>
      <c r="B50" s="72">
        <f>FR!C50+FR!D50+FR!E50</f>
        <v>0</v>
      </c>
      <c r="C50" s="72">
        <f>FR!D50+FR!E50+FR!F50</f>
        <v>0</v>
      </c>
      <c r="D50" s="72">
        <f>FR!E50+FR!F50+FR!G50</f>
        <v>0</v>
      </c>
      <c r="E50" s="72">
        <f>FR!F50+FR!G50+FR!H50</f>
        <v>0</v>
      </c>
      <c r="F50" s="833"/>
      <c r="G50" s="72">
        <f>VS!C50+VS!D50+VS!E50</f>
        <v>0</v>
      </c>
      <c r="H50" s="72">
        <f>VS!F50+VS!G50+VS!H50</f>
        <v>0</v>
      </c>
      <c r="I50" s="72">
        <f>VS!I50+VS!J50+VS!K50</f>
        <v>0</v>
      </c>
      <c r="J50" s="73">
        <f>VS!L50+VS!M50+VS!N50</f>
        <v>0</v>
      </c>
      <c r="K50" s="833"/>
      <c r="L50" s="15">
        <f t="shared" si="9"/>
        <v>0</v>
      </c>
      <c r="M50" s="15">
        <f t="shared" si="8"/>
        <v>0</v>
      </c>
      <c r="N50" s="15">
        <f t="shared" si="8"/>
        <v>0</v>
      </c>
      <c r="O50" s="15">
        <f t="shared" si="8"/>
        <v>0</v>
      </c>
    </row>
    <row r="51" spans="1:15" s="74" customFormat="1" x14ac:dyDescent="0.25">
      <c r="A51" s="68" t="s">
        <v>188</v>
      </c>
      <c r="B51" s="69">
        <f>SUM(B52:B60)</f>
        <v>0</v>
      </c>
      <c r="C51" s="69">
        <f>SUM(C52:C60)</f>
        <v>0</v>
      </c>
      <c r="D51" s="69">
        <f>SUM(D52:D60)</f>
        <v>0</v>
      </c>
      <c r="E51" s="69">
        <f>SUM(E52:E60)</f>
        <v>0</v>
      </c>
      <c r="F51" s="833"/>
      <c r="G51" s="69">
        <f>SUM(G52:G60)</f>
        <v>1254687.25</v>
      </c>
      <c r="H51" s="69">
        <f>SUM(H52:H60)</f>
        <v>4055129.6799999997</v>
      </c>
      <c r="I51" s="69">
        <f>SUM(I52:I60)</f>
        <v>891102.74</v>
      </c>
      <c r="J51" s="69">
        <f>SUM(J52:J60)</f>
        <v>0</v>
      </c>
      <c r="K51" s="833"/>
      <c r="L51" s="70">
        <f>SUM(B51+G51)</f>
        <v>1254687.25</v>
      </c>
      <c r="M51" s="70">
        <f t="shared" si="8"/>
        <v>4055129.6799999997</v>
      </c>
      <c r="N51" s="70">
        <f t="shared" si="8"/>
        <v>891102.74</v>
      </c>
      <c r="O51" s="70">
        <f t="shared" si="8"/>
        <v>0</v>
      </c>
    </row>
    <row r="52" spans="1:15" x14ac:dyDescent="0.25">
      <c r="A52" s="71" t="s">
        <v>189</v>
      </c>
      <c r="B52" s="72">
        <f>FR!C52+FR!D52+FR!E52</f>
        <v>0</v>
      </c>
      <c r="C52" s="72">
        <f>FR!D52+FR!E52+FR!F52</f>
        <v>0</v>
      </c>
      <c r="D52" s="72">
        <f>FR!E52+FR!F52+FR!G52</f>
        <v>0</v>
      </c>
      <c r="E52" s="72">
        <f>FR!F52+FR!G52+FR!H52</f>
        <v>0</v>
      </c>
      <c r="F52" s="833"/>
      <c r="G52" s="72">
        <f>VS!C52+VS!D52+VS!E52</f>
        <v>128425</v>
      </c>
      <c r="H52" s="72">
        <f>VS!F52+VS!G52+VS!H52</f>
        <v>2326190.1</v>
      </c>
      <c r="I52" s="72">
        <f>VS!I52+VS!J52+VS!K52</f>
        <v>209220</v>
      </c>
      <c r="J52" s="73">
        <f>VS!L52+VS!M52+VS!N52</f>
        <v>0</v>
      </c>
      <c r="K52" s="833"/>
      <c r="L52" s="15">
        <f t="shared" ref="L52:L60" si="10">SUM(B52+G52)</f>
        <v>128425</v>
      </c>
      <c r="M52" s="15">
        <f t="shared" si="8"/>
        <v>2326190.1</v>
      </c>
      <c r="N52" s="15">
        <f t="shared" si="8"/>
        <v>209220</v>
      </c>
      <c r="O52" s="15">
        <f t="shared" si="8"/>
        <v>0</v>
      </c>
    </row>
    <row r="53" spans="1:15" x14ac:dyDescent="0.25">
      <c r="A53" s="71" t="s">
        <v>190</v>
      </c>
      <c r="B53" s="72">
        <f>FR!C53+FR!D53+FR!E53</f>
        <v>0</v>
      </c>
      <c r="C53" s="72">
        <f>FR!D53+FR!E53+FR!F53</f>
        <v>0</v>
      </c>
      <c r="D53" s="72">
        <f>FR!E53+FR!F53+FR!G53</f>
        <v>0</v>
      </c>
      <c r="E53" s="72">
        <f>FR!F53+FR!G53+FR!H53</f>
        <v>0</v>
      </c>
      <c r="F53" s="833"/>
      <c r="G53" s="72">
        <f>VS!C53+VS!D53+VS!E53</f>
        <v>0</v>
      </c>
      <c r="H53" s="72">
        <f>VS!F53+VS!G53+VS!H53</f>
        <v>63506.51</v>
      </c>
      <c r="I53" s="72">
        <f>VS!I53+VS!J53+VS!K53</f>
        <v>0</v>
      </c>
      <c r="J53" s="73">
        <f>VS!L53+VS!M53+VS!N53</f>
        <v>0</v>
      </c>
      <c r="K53" s="833"/>
      <c r="L53" s="15">
        <f t="shared" si="10"/>
        <v>0</v>
      </c>
      <c r="M53" s="15">
        <f t="shared" ref="M53:O68" si="11">SUM(C53+H53)</f>
        <v>63506.51</v>
      </c>
      <c r="N53" s="15">
        <f t="shared" si="11"/>
        <v>0</v>
      </c>
      <c r="O53" s="15">
        <f t="shared" si="11"/>
        <v>0</v>
      </c>
    </row>
    <row r="54" spans="1:15" x14ac:dyDescent="0.25">
      <c r="A54" s="71" t="s">
        <v>191</v>
      </c>
      <c r="B54" s="72">
        <f>FR!C54+FR!D54+FR!E54</f>
        <v>0</v>
      </c>
      <c r="C54" s="72">
        <f>FR!D54+FR!E54+FR!F54</f>
        <v>0</v>
      </c>
      <c r="D54" s="72">
        <f>FR!E54+FR!F54+FR!G54</f>
        <v>0</v>
      </c>
      <c r="E54" s="72">
        <f>FR!F54+FR!G54+FR!H54</f>
        <v>0</v>
      </c>
      <c r="F54" s="833"/>
      <c r="G54" s="72">
        <f>VS!C54+VS!D54+VS!E54</f>
        <v>789462.23</v>
      </c>
      <c r="H54" s="72">
        <f>VS!F54+VS!G54+VS!H54</f>
        <v>1506933.0699999998</v>
      </c>
      <c r="I54" s="72">
        <f>VS!I54+VS!J54+VS!K54</f>
        <v>681882.74</v>
      </c>
      <c r="J54" s="73">
        <f>VS!L54+VS!M54+VS!N54</f>
        <v>0</v>
      </c>
      <c r="K54" s="833"/>
      <c r="L54" s="15">
        <f t="shared" si="10"/>
        <v>789462.23</v>
      </c>
      <c r="M54" s="15">
        <f t="shared" si="11"/>
        <v>1506933.0699999998</v>
      </c>
      <c r="N54" s="15">
        <f t="shared" si="11"/>
        <v>681882.74</v>
      </c>
      <c r="O54" s="15">
        <f t="shared" si="11"/>
        <v>0</v>
      </c>
    </row>
    <row r="55" spans="1:15" x14ac:dyDescent="0.25">
      <c r="A55" s="71" t="s">
        <v>192</v>
      </c>
      <c r="B55" s="72">
        <f>FR!C55+FR!D55+FR!E55</f>
        <v>0</v>
      </c>
      <c r="C55" s="72">
        <f>FR!D55+FR!E55+FR!F55</f>
        <v>0</v>
      </c>
      <c r="D55" s="72">
        <f>FR!E55+FR!F55+FR!G55</f>
        <v>0</v>
      </c>
      <c r="E55" s="72">
        <f>FR!F55+FR!G55+FR!H55</f>
        <v>0</v>
      </c>
      <c r="F55" s="833"/>
      <c r="G55" s="72">
        <f>VS!C55+VS!D55+VS!E55</f>
        <v>0</v>
      </c>
      <c r="H55" s="72">
        <f>VS!F55+VS!G55+VS!H55</f>
        <v>0</v>
      </c>
      <c r="I55" s="72">
        <f>VS!I55+VS!J55+VS!K55</f>
        <v>0</v>
      </c>
      <c r="J55" s="73">
        <f>VS!L55+VS!M55+VS!N55</f>
        <v>0</v>
      </c>
      <c r="K55" s="833"/>
      <c r="L55" s="15">
        <f t="shared" si="10"/>
        <v>0</v>
      </c>
      <c r="M55" s="15">
        <f t="shared" si="11"/>
        <v>0</v>
      </c>
      <c r="N55" s="15">
        <f t="shared" si="11"/>
        <v>0</v>
      </c>
      <c r="O55" s="15">
        <f t="shared" si="11"/>
        <v>0</v>
      </c>
    </row>
    <row r="56" spans="1:15" x14ac:dyDescent="0.25">
      <c r="A56" s="71" t="s">
        <v>193</v>
      </c>
      <c r="B56" s="72">
        <f>FR!C56+FR!D56+FR!E56</f>
        <v>0</v>
      </c>
      <c r="C56" s="72">
        <f>FR!D56+FR!E56+FR!F56</f>
        <v>0</v>
      </c>
      <c r="D56" s="72">
        <f>FR!E56+FR!F56+FR!G56</f>
        <v>0</v>
      </c>
      <c r="E56" s="72">
        <f>FR!F56+FR!G56+FR!H56</f>
        <v>0</v>
      </c>
      <c r="F56" s="833"/>
      <c r="G56" s="72">
        <f>VS!C56+VS!D56+VS!E56</f>
        <v>336800.02</v>
      </c>
      <c r="H56" s="72">
        <f>VS!F56+VS!G56+VS!H56</f>
        <v>158500</v>
      </c>
      <c r="I56" s="72">
        <f>VS!I56+VS!J56+VS!K56</f>
        <v>0</v>
      </c>
      <c r="J56" s="73">
        <f>VS!L56+VS!M56+VS!N56</f>
        <v>0</v>
      </c>
      <c r="K56" s="833"/>
      <c r="L56" s="15">
        <f t="shared" si="10"/>
        <v>336800.02</v>
      </c>
      <c r="M56" s="15">
        <f t="shared" si="11"/>
        <v>158500</v>
      </c>
      <c r="N56" s="15">
        <f t="shared" si="11"/>
        <v>0</v>
      </c>
      <c r="O56" s="15">
        <f t="shared" si="11"/>
        <v>0</v>
      </c>
    </row>
    <row r="57" spans="1:15" x14ac:dyDescent="0.25">
      <c r="A57" s="71" t="s">
        <v>194</v>
      </c>
      <c r="B57" s="72">
        <f>FR!C57+FR!D57+FR!E57</f>
        <v>0</v>
      </c>
      <c r="C57" s="72">
        <f>FR!D57+FR!E57+FR!F57</f>
        <v>0</v>
      </c>
      <c r="D57" s="72">
        <f>FR!E57+FR!F57+FR!G57</f>
        <v>0</v>
      </c>
      <c r="E57" s="72">
        <f>FR!F57+FR!G57+FR!H57</f>
        <v>0</v>
      </c>
      <c r="F57" s="833"/>
      <c r="G57" s="72">
        <f>VS!C57+VS!D57+VS!E57</f>
        <v>0</v>
      </c>
      <c r="H57" s="72">
        <f>VS!F57+VS!G57+VS!H57</f>
        <v>0</v>
      </c>
      <c r="I57" s="72">
        <f>VS!I57+VS!J57+VS!K57</f>
        <v>0</v>
      </c>
      <c r="J57" s="73">
        <f>VS!L57+VS!M57+VS!N57</f>
        <v>0</v>
      </c>
      <c r="K57" s="833"/>
      <c r="L57" s="15">
        <f t="shared" si="10"/>
        <v>0</v>
      </c>
      <c r="M57" s="15">
        <f t="shared" si="11"/>
        <v>0</v>
      </c>
      <c r="N57" s="15">
        <f t="shared" si="11"/>
        <v>0</v>
      </c>
      <c r="O57" s="15">
        <f t="shared" si="11"/>
        <v>0</v>
      </c>
    </row>
    <row r="58" spans="1:15" x14ac:dyDescent="0.25">
      <c r="A58" s="71" t="s">
        <v>195</v>
      </c>
      <c r="B58" s="72">
        <f>FR!C58+FR!D58+FR!E58</f>
        <v>0</v>
      </c>
      <c r="C58" s="72">
        <f>FR!D58+FR!E58+FR!F58</f>
        <v>0</v>
      </c>
      <c r="D58" s="72">
        <f>FR!E58+FR!F58+FR!G58</f>
        <v>0</v>
      </c>
      <c r="E58" s="72">
        <f>FR!F58+FR!G58+FR!H58</f>
        <v>0</v>
      </c>
      <c r="F58" s="833"/>
      <c r="G58" s="72">
        <f>VS!C58+VS!D58+VS!E58</f>
        <v>0</v>
      </c>
      <c r="H58" s="72">
        <f>VS!F58+VS!G58+VS!H58</f>
        <v>0</v>
      </c>
      <c r="I58" s="72">
        <f>VS!I58+VS!J58+VS!K58</f>
        <v>0</v>
      </c>
      <c r="J58" s="73">
        <f>VS!L58+VS!M58+VS!N58</f>
        <v>0</v>
      </c>
      <c r="K58" s="833"/>
      <c r="L58" s="15">
        <f t="shared" si="10"/>
        <v>0</v>
      </c>
      <c r="M58" s="15">
        <f t="shared" si="11"/>
        <v>0</v>
      </c>
      <c r="N58" s="15">
        <f t="shared" si="11"/>
        <v>0</v>
      </c>
      <c r="O58" s="15">
        <f t="shared" si="11"/>
        <v>0</v>
      </c>
    </row>
    <row r="59" spans="1:15" x14ac:dyDescent="0.25">
      <c r="A59" s="71" t="s">
        <v>196</v>
      </c>
      <c r="B59" s="72">
        <f>FR!C59+FR!D59+FR!E59</f>
        <v>0</v>
      </c>
      <c r="C59" s="72">
        <f>FR!D59+FR!E59+FR!F59</f>
        <v>0</v>
      </c>
      <c r="D59" s="72">
        <f>FR!E59+FR!F59+FR!G59</f>
        <v>0</v>
      </c>
      <c r="E59" s="72">
        <f>FR!F59+FR!G59+FR!H59</f>
        <v>0</v>
      </c>
      <c r="F59" s="833"/>
      <c r="G59" s="72">
        <f>VS!C59+VS!D59+VS!E59</f>
        <v>0</v>
      </c>
      <c r="H59" s="72">
        <f>VS!F59+VS!G59+VS!H59</f>
        <v>0</v>
      </c>
      <c r="I59" s="72">
        <f>VS!I59+VS!J59+VS!K59</f>
        <v>0</v>
      </c>
      <c r="J59" s="73">
        <f>VS!L59+VS!M59+VS!N59</f>
        <v>0</v>
      </c>
      <c r="K59" s="833"/>
      <c r="L59" s="15">
        <f t="shared" si="10"/>
        <v>0</v>
      </c>
      <c r="M59" s="15">
        <f t="shared" si="11"/>
        <v>0</v>
      </c>
      <c r="N59" s="15">
        <f t="shared" si="11"/>
        <v>0</v>
      </c>
      <c r="O59" s="15">
        <f t="shared" si="11"/>
        <v>0</v>
      </c>
    </row>
    <row r="60" spans="1:15" x14ac:dyDescent="0.25">
      <c r="A60" s="71" t="s">
        <v>197</v>
      </c>
      <c r="B60" s="72">
        <f>FR!C60+FR!D60+FR!E60</f>
        <v>0</v>
      </c>
      <c r="C60" s="72">
        <f>FR!D60+FR!E60+FR!F60</f>
        <v>0</v>
      </c>
      <c r="D60" s="72">
        <f>FR!E60+FR!F60+FR!G60</f>
        <v>0</v>
      </c>
      <c r="E60" s="72">
        <f>FR!F60+FR!G60+FR!H60</f>
        <v>0</v>
      </c>
      <c r="F60" s="833"/>
      <c r="G60" s="72">
        <f>VS!C60+VS!D60+VS!E60</f>
        <v>0</v>
      </c>
      <c r="H60" s="72">
        <f>VS!F60+VS!G60+VS!H60</f>
        <v>0</v>
      </c>
      <c r="I60" s="72">
        <f>VS!I60+VS!J60+VS!K60</f>
        <v>0</v>
      </c>
      <c r="J60" s="73">
        <f>VS!L60+VS!M60+VS!N60</f>
        <v>0</v>
      </c>
      <c r="K60" s="833"/>
      <c r="L60" s="15">
        <f t="shared" si="10"/>
        <v>0</v>
      </c>
      <c r="M60" s="15">
        <f t="shared" si="11"/>
        <v>0</v>
      </c>
      <c r="N60" s="15">
        <f t="shared" si="11"/>
        <v>0</v>
      </c>
      <c r="O60" s="15">
        <f t="shared" si="11"/>
        <v>0</v>
      </c>
    </row>
    <row r="61" spans="1:15" s="74" customFormat="1" x14ac:dyDescent="0.25">
      <c r="A61" s="68" t="s">
        <v>198</v>
      </c>
      <c r="B61" s="69">
        <f>SUM(B62:B65)</f>
        <v>0</v>
      </c>
      <c r="C61" s="69">
        <f>SUM(C62:C65)</f>
        <v>0</v>
      </c>
      <c r="D61" s="69">
        <f>SUM(D62:D65)</f>
        <v>0</v>
      </c>
      <c r="E61" s="69">
        <f>SUM(E62:E65)</f>
        <v>0</v>
      </c>
      <c r="F61" s="833"/>
      <c r="G61" s="69">
        <f>SUM(G62:G65)</f>
        <v>0</v>
      </c>
      <c r="H61" s="69">
        <f>SUM(H62:H65)</f>
        <v>0</v>
      </c>
      <c r="I61" s="69">
        <f>SUM(I62:I65)</f>
        <v>108560</v>
      </c>
      <c r="J61" s="69">
        <f>SUM(J62:J65)</f>
        <v>0</v>
      </c>
      <c r="K61" s="833"/>
      <c r="L61" s="75">
        <f t="shared" ref="L61:L72" si="12">SUM(B61+G61)</f>
        <v>0</v>
      </c>
      <c r="M61" s="75">
        <f t="shared" si="11"/>
        <v>0</v>
      </c>
      <c r="N61" s="75">
        <f t="shared" si="11"/>
        <v>108560</v>
      </c>
      <c r="O61" s="75">
        <f t="shared" si="11"/>
        <v>0</v>
      </c>
    </row>
    <row r="62" spans="1:15" x14ac:dyDescent="0.25">
      <c r="A62" s="71" t="s">
        <v>199</v>
      </c>
      <c r="B62" s="72">
        <f>FR!C62+FR!D62+FR!E62</f>
        <v>0</v>
      </c>
      <c r="C62" s="72">
        <f>FR!D62+FR!E62+FR!F62</f>
        <v>0</v>
      </c>
      <c r="D62" s="72">
        <f>FR!E62+FR!F62+FR!G62</f>
        <v>0</v>
      </c>
      <c r="E62" s="72">
        <f>FR!F62+FR!G62+FR!H62</f>
        <v>0</v>
      </c>
      <c r="F62" s="833"/>
      <c r="G62" s="72">
        <f>VS!C62+VS!D62+VS!E62</f>
        <v>0</v>
      </c>
      <c r="H62" s="72">
        <f>VS!F62+VS!G62+VS!H62</f>
        <v>0</v>
      </c>
      <c r="I62" s="72">
        <f>VS!I62+VS!J62+VS!K62</f>
        <v>108560</v>
      </c>
      <c r="J62" s="73">
        <f>VS!L62+VS!M62+VS!N62</f>
        <v>0</v>
      </c>
      <c r="K62" s="833"/>
      <c r="L62" s="15">
        <f t="shared" si="12"/>
        <v>0</v>
      </c>
      <c r="M62" s="15">
        <f t="shared" si="11"/>
        <v>0</v>
      </c>
      <c r="N62" s="15">
        <f t="shared" si="11"/>
        <v>108560</v>
      </c>
      <c r="O62" s="15">
        <f t="shared" si="11"/>
        <v>0</v>
      </c>
    </row>
    <row r="63" spans="1:15" x14ac:dyDescent="0.25">
      <c r="A63" s="71" t="s">
        <v>200</v>
      </c>
      <c r="B63" s="72">
        <f>FR!C63+FR!D63+FR!E63</f>
        <v>0</v>
      </c>
      <c r="C63" s="72">
        <f>FR!D63+FR!E63+FR!F63</f>
        <v>0</v>
      </c>
      <c r="D63" s="72">
        <f>FR!E63+FR!F63+FR!G63</f>
        <v>0</v>
      </c>
      <c r="E63" s="72">
        <f>FR!F63+FR!G63+FR!H63</f>
        <v>0</v>
      </c>
      <c r="F63" s="833"/>
      <c r="G63" s="72">
        <f>VS!C63+VS!D63+VS!E63</f>
        <v>0</v>
      </c>
      <c r="H63" s="72">
        <f>VS!F63+VS!G63+VS!H63</f>
        <v>0</v>
      </c>
      <c r="I63" s="72">
        <f>VS!I63+VS!J63+VS!K63</f>
        <v>0</v>
      </c>
      <c r="J63" s="73">
        <f>VS!L63+VS!M63+VS!N63</f>
        <v>0</v>
      </c>
      <c r="K63" s="833"/>
      <c r="L63" s="15">
        <f t="shared" si="12"/>
        <v>0</v>
      </c>
      <c r="M63" s="15">
        <f t="shared" si="11"/>
        <v>0</v>
      </c>
      <c r="N63" s="15">
        <f t="shared" si="11"/>
        <v>0</v>
      </c>
      <c r="O63" s="15">
        <f t="shared" si="11"/>
        <v>0</v>
      </c>
    </row>
    <row r="64" spans="1:15" x14ac:dyDescent="0.25">
      <c r="A64" s="71" t="s">
        <v>201</v>
      </c>
      <c r="B64" s="72">
        <f>FR!C64+FR!D64+FR!E64</f>
        <v>0</v>
      </c>
      <c r="C64" s="72">
        <f>FR!D64+FR!E64+FR!F64</f>
        <v>0</v>
      </c>
      <c r="D64" s="72">
        <f>FR!E64+FR!F64+FR!G64</f>
        <v>0</v>
      </c>
      <c r="E64" s="72">
        <f>FR!F64+FR!G64+FR!H64</f>
        <v>0</v>
      </c>
      <c r="F64" s="833"/>
      <c r="G64" s="72">
        <f>VS!C64+VS!D64+VS!E64</f>
        <v>0</v>
      </c>
      <c r="H64" s="72">
        <f>VS!F64+VS!G64+VS!H64</f>
        <v>0</v>
      </c>
      <c r="I64" s="72">
        <f>VS!I64+VS!J64+VS!K64</f>
        <v>0</v>
      </c>
      <c r="J64" s="73">
        <f>VS!L64+VS!M64+VS!N64</f>
        <v>0</v>
      </c>
      <c r="K64" s="833"/>
      <c r="L64" s="15">
        <f t="shared" si="12"/>
        <v>0</v>
      </c>
      <c r="M64" s="15">
        <f t="shared" si="11"/>
        <v>0</v>
      </c>
      <c r="N64" s="15">
        <f t="shared" si="11"/>
        <v>0</v>
      </c>
      <c r="O64" s="15">
        <f t="shared" si="11"/>
        <v>0</v>
      </c>
    </row>
    <row r="65" spans="1:15" ht="30" x14ac:dyDescent="0.25">
      <c r="A65" s="71" t="s">
        <v>202</v>
      </c>
      <c r="B65" s="72">
        <f>FR!C65+FR!D65+FR!E65</f>
        <v>0</v>
      </c>
      <c r="C65" s="72">
        <f>FR!D65+FR!E65+FR!F65</f>
        <v>0</v>
      </c>
      <c r="D65" s="72">
        <f>FR!E65+FR!F65+FR!G65</f>
        <v>0</v>
      </c>
      <c r="E65" s="72">
        <f>FR!F65+FR!G65+FR!H65</f>
        <v>0</v>
      </c>
      <c r="F65" s="833"/>
      <c r="G65" s="72">
        <f>VS!C65+VS!D65+VS!E65</f>
        <v>0</v>
      </c>
      <c r="H65" s="72">
        <f>VS!F65+VS!G65+VS!H65</f>
        <v>0</v>
      </c>
      <c r="I65" s="72">
        <f>VS!I65+VS!J65+VS!K65</f>
        <v>0</v>
      </c>
      <c r="J65" s="73">
        <f>VS!L65+VS!M65+VS!N65</f>
        <v>0</v>
      </c>
      <c r="K65" s="833"/>
      <c r="L65" s="15">
        <f t="shared" si="12"/>
        <v>0</v>
      </c>
      <c r="M65" s="15">
        <f t="shared" si="11"/>
        <v>0</v>
      </c>
      <c r="N65" s="15">
        <f t="shared" si="11"/>
        <v>0</v>
      </c>
      <c r="O65" s="15">
        <f t="shared" si="11"/>
        <v>0</v>
      </c>
    </row>
    <row r="66" spans="1:15" s="74" customFormat="1" x14ac:dyDescent="0.25">
      <c r="A66" s="68" t="s">
        <v>203</v>
      </c>
      <c r="B66" s="69">
        <f>SUM(B67:B68)</f>
        <v>0</v>
      </c>
      <c r="C66" s="69">
        <f>SUM(C67:C68)</f>
        <v>0</v>
      </c>
      <c r="D66" s="69">
        <f>SUM(D67:D68)</f>
        <v>0</v>
      </c>
      <c r="E66" s="69">
        <f>SUM(E67:E68)</f>
        <v>0</v>
      </c>
      <c r="F66" s="833"/>
      <c r="G66" s="69">
        <f>SUM(G67:G68)</f>
        <v>0</v>
      </c>
      <c r="H66" s="69">
        <f>SUM(H67:H68)</f>
        <v>0</v>
      </c>
      <c r="I66" s="69">
        <f>SUM(I67:I68)</f>
        <v>0</v>
      </c>
      <c r="J66" s="69">
        <f>SUM(J67:J68)</f>
        <v>0</v>
      </c>
      <c r="K66" s="833"/>
      <c r="L66" s="75">
        <f t="shared" si="12"/>
        <v>0</v>
      </c>
      <c r="M66" s="75">
        <f t="shared" si="11"/>
        <v>0</v>
      </c>
      <c r="N66" s="75">
        <f t="shared" si="11"/>
        <v>0</v>
      </c>
      <c r="O66" s="75">
        <f t="shared" si="11"/>
        <v>0</v>
      </c>
    </row>
    <row r="67" spans="1:15" x14ac:dyDescent="0.25">
      <c r="A67" s="71" t="s">
        <v>204</v>
      </c>
      <c r="B67" s="72">
        <f>FR!C67+FR!D67+FR!E67</f>
        <v>0</v>
      </c>
      <c r="C67" s="72">
        <f>FR!D67+FR!E67+FR!F67</f>
        <v>0</v>
      </c>
      <c r="D67" s="72">
        <f>FR!E67+FR!F67+FR!G67</f>
        <v>0</v>
      </c>
      <c r="E67" s="72">
        <f>FR!F67+FR!G67+FR!H67</f>
        <v>0</v>
      </c>
      <c r="F67" s="833"/>
      <c r="G67" s="72">
        <f>VS!C67+VS!D67+VS!E67</f>
        <v>0</v>
      </c>
      <c r="H67" s="72">
        <f>VS!F67+VS!G67+VS!H67</f>
        <v>0</v>
      </c>
      <c r="I67" s="72">
        <f>VS!I67+VS!J67+VS!K67</f>
        <v>0</v>
      </c>
      <c r="J67" s="73">
        <f>VS!L67+VS!M67+VS!N67</f>
        <v>0</v>
      </c>
      <c r="K67" s="833"/>
      <c r="L67" s="15">
        <f t="shared" si="12"/>
        <v>0</v>
      </c>
      <c r="M67" s="15">
        <f>SUM(C67+H67)</f>
        <v>0</v>
      </c>
      <c r="N67" s="15">
        <f t="shared" si="11"/>
        <v>0</v>
      </c>
      <c r="O67" s="15">
        <f t="shared" si="11"/>
        <v>0</v>
      </c>
    </row>
    <row r="68" spans="1:15" x14ac:dyDescent="0.25">
      <c r="A68" s="71" t="s">
        <v>205</v>
      </c>
      <c r="B68" s="72">
        <f>FR!C68+FR!D68+FR!E68</f>
        <v>0</v>
      </c>
      <c r="C68" s="72">
        <f>FR!D68+FR!E68+FR!F68</f>
        <v>0</v>
      </c>
      <c r="D68" s="72">
        <f>FR!E68+FR!F68+FR!G68</f>
        <v>0</v>
      </c>
      <c r="E68" s="72">
        <f>FR!F68+FR!G68+FR!H68</f>
        <v>0</v>
      </c>
      <c r="F68" s="833"/>
      <c r="G68" s="72">
        <f>VS!C68+VS!D68+VS!E68</f>
        <v>0</v>
      </c>
      <c r="H68" s="72">
        <f>VS!F68+VS!G68+VS!H68</f>
        <v>0</v>
      </c>
      <c r="I68" s="72">
        <f>VS!I68+VS!J68+VS!K68</f>
        <v>0</v>
      </c>
      <c r="J68" s="73">
        <f>VS!L68+VS!M68+VS!N68</f>
        <v>0</v>
      </c>
      <c r="K68" s="833"/>
      <c r="L68" s="15">
        <f t="shared" si="12"/>
        <v>0</v>
      </c>
      <c r="M68" s="15">
        <f>SUM(C68+H68)</f>
        <v>0</v>
      </c>
      <c r="N68" s="15">
        <f t="shared" si="11"/>
        <v>0</v>
      </c>
      <c r="O68" s="15">
        <f t="shared" si="11"/>
        <v>0</v>
      </c>
    </row>
    <row r="69" spans="1:15" s="74" customFormat="1" x14ac:dyDescent="0.25">
      <c r="A69" s="68" t="s">
        <v>206</v>
      </c>
      <c r="B69" s="69">
        <f>SUM(B70:B72)</f>
        <v>11748.4</v>
      </c>
      <c r="C69" s="69">
        <f>SUM(C70:C72)</f>
        <v>7783.57</v>
      </c>
      <c r="D69" s="69">
        <f t="shared" ref="D69:E69" si="13">SUM(D70:D72)</f>
        <v>0</v>
      </c>
      <c r="E69" s="69">
        <f t="shared" si="13"/>
        <v>0</v>
      </c>
      <c r="F69" s="833"/>
      <c r="G69" s="69">
        <f>SUM(G70:G72)</f>
        <v>26872.83</v>
      </c>
      <c r="H69" s="69">
        <f>SUM(H70:H72)</f>
        <v>31467.519999999997</v>
      </c>
      <c r="I69" s="69">
        <f>SUM(I70:I72)</f>
        <v>13758.07</v>
      </c>
      <c r="J69" s="69">
        <f>SUM(J70:J72)</f>
        <v>0</v>
      </c>
      <c r="K69" s="833"/>
      <c r="L69" s="75">
        <f t="shared" si="12"/>
        <v>38621.230000000003</v>
      </c>
      <c r="M69" s="75">
        <f t="shared" ref="M69:O83" si="14">SUM(C69+H69)</f>
        <v>39251.089999999997</v>
      </c>
      <c r="N69" s="75">
        <f t="shared" si="14"/>
        <v>13758.07</v>
      </c>
      <c r="O69" s="75">
        <f t="shared" si="14"/>
        <v>0</v>
      </c>
    </row>
    <row r="70" spans="1:15" x14ac:dyDescent="0.25">
      <c r="A70" s="71" t="s">
        <v>207</v>
      </c>
      <c r="B70" s="72">
        <f>FR!C70+FR!D70+FR!E70</f>
        <v>0</v>
      </c>
      <c r="C70" s="72">
        <f>FR!D70+FR!E70+FR!F70</f>
        <v>0</v>
      </c>
      <c r="D70" s="72">
        <f>FR!E70+FR!F70+FR!G70</f>
        <v>0</v>
      </c>
      <c r="E70" s="72">
        <f>FR!F70+FR!G70+FR!H70</f>
        <v>0</v>
      </c>
      <c r="F70" s="833"/>
      <c r="G70" s="72">
        <f>VS!C70+VS!D70+VS!E70</f>
        <v>0</v>
      </c>
      <c r="H70" s="72">
        <f>VS!F70+VS!G70+VS!H70</f>
        <v>0</v>
      </c>
      <c r="I70" s="72">
        <f>VS!I70+VS!J70+VS!K70</f>
        <v>0</v>
      </c>
      <c r="J70" s="73">
        <f>VS!L70+VS!M70+VS!N70</f>
        <v>0</v>
      </c>
      <c r="K70" s="833"/>
      <c r="L70" s="15">
        <f t="shared" si="12"/>
        <v>0</v>
      </c>
      <c r="M70" s="15">
        <f t="shared" si="14"/>
        <v>0</v>
      </c>
      <c r="N70" s="15">
        <f t="shared" si="14"/>
        <v>0</v>
      </c>
      <c r="O70" s="15">
        <f t="shared" si="14"/>
        <v>0</v>
      </c>
    </row>
    <row r="71" spans="1:15" x14ac:dyDescent="0.25">
      <c r="A71" s="71" t="s">
        <v>208</v>
      </c>
      <c r="B71" s="72">
        <f>FR!C71+FR!D71+FR!E71</f>
        <v>0</v>
      </c>
      <c r="C71" s="72">
        <f>FR!D71+FR!E71+FR!F71</f>
        <v>0</v>
      </c>
      <c r="D71" s="72">
        <f>FR!E71+FR!F71+FR!G71</f>
        <v>0</v>
      </c>
      <c r="E71" s="72">
        <f>FR!F71+FR!G71+FR!H71</f>
        <v>0</v>
      </c>
      <c r="F71" s="833"/>
      <c r="G71" s="72">
        <f>VS!C71+VS!D71+VS!E71</f>
        <v>0</v>
      </c>
      <c r="H71" s="72">
        <f>VS!F71+VS!G71+VS!H71</f>
        <v>0</v>
      </c>
      <c r="I71" s="72">
        <f>VS!I71+VS!J71+VS!K71</f>
        <v>0</v>
      </c>
      <c r="J71" s="73">
        <f>VS!L71+VS!M71+VS!N71</f>
        <v>0</v>
      </c>
      <c r="K71" s="833"/>
      <c r="L71" s="15">
        <f t="shared" si="12"/>
        <v>0</v>
      </c>
      <c r="M71" s="15">
        <f t="shared" si="14"/>
        <v>0</v>
      </c>
      <c r="N71" s="15">
        <f t="shared" si="14"/>
        <v>0</v>
      </c>
      <c r="O71" s="15">
        <f t="shared" si="14"/>
        <v>0</v>
      </c>
    </row>
    <row r="72" spans="1:15" x14ac:dyDescent="0.25">
      <c r="A72" s="71" t="s">
        <v>209</v>
      </c>
      <c r="B72" s="72">
        <f>FR!C72+FR!D72+FR!E72</f>
        <v>11748.4</v>
      </c>
      <c r="C72" s="72">
        <f>FR!F72+FR!G72+FR!H72</f>
        <v>7783.57</v>
      </c>
      <c r="D72" s="72">
        <f>FR!I72+FR!J72+FR!K72</f>
        <v>0</v>
      </c>
      <c r="E72" s="72">
        <f>FR!L72+FR!M72+FR!N72</f>
        <v>0</v>
      </c>
      <c r="F72" s="833"/>
      <c r="G72" s="72">
        <f>VS!C72+VS!D72+VS!E72</f>
        <v>26872.83</v>
      </c>
      <c r="H72" s="72">
        <f>VS!F72+VS!G72+VS!H72</f>
        <v>31467.519999999997</v>
      </c>
      <c r="I72" s="72">
        <f>VS!I72+VS!J72+VS!K72</f>
        <v>13758.07</v>
      </c>
      <c r="J72" s="73">
        <f>VS!L72+VS!M72+VS!N72</f>
        <v>0</v>
      </c>
      <c r="K72" s="833"/>
      <c r="L72" s="15">
        <f t="shared" si="12"/>
        <v>38621.230000000003</v>
      </c>
      <c r="M72" s="15">
        <f t="shared" si="14"/>
        <v>39251.089999999997</v>
      </c>
      <c r="N72" s="15">
        <f t="shared" si="14"/>
        <v>13758.07</v>
      </c>
      <c r="O72" s="15">
        <f t="shared" si="14"/>
        <v>0</v>
      </c>
    </row>
    <row r="73" spans="1:15" s="74" customFormat="1" x14ac:dyDescent="0.25">
      <c r="A73" s="68" t="s">
        <v>210</v>
      </c>
      <c r="B73" s="69">
        <f>+B9+B15+B25+B35+B43+B51+B61+B66+B69</f>
        <v>7499942.1100000003</v>
      </c>
      <c r="C73" s="69">
        <f>+C9+C15+C25+C35+C43+C51+C61+C66+C69</f>
        <v>4999931.54</v>
      </c>
      <c r="D73" s="69">
        <f>+D9+D15+D25+D35+D43+D51+D61+D66+D69</f>
        <v>0</v>
      </c>
      <c r="E73" s="69">
        <f>+E9+E15+E25+E35+E43+E51+E61+E66+E69</f>
        <v>0</v>
      </c>
      <c r="F73" s="833"/>
      <c r="G73" s="69">
        <f>+G9+G15+G25+G35+G43+G51+G61+G66+G69</f>
        <v>21264522.899999999</v>
      </c>
      <c r="H73" s="69">
        <f>+H9+H15+H25+H35+H43+H51+H61+H66+H69</f>
        <v>17425140.199999999</v>
      </c>
      <c r="I73" s="69">
        <f>+I9+I15+I25+I35+I43+I51+I61+I66+I69</f>
        <v>8779635.5399999991</v>
      </c>
      <c r="J73" s="69">
        <f>+J9+J15+J25+J35+J43+J51+J61+J66+J69</f>
        <v>0</v>
      </c>
      <c r="K73" s="833"/>
      <c r="L73" s="75">
        <f>SUM(B73+G73)</f>
        <v>28764465.009999998</v>
      </c>
      <c r="M73" s="75">
        <f t="shared" si="14"/>
        <v>22425071.739999998</v>
      </c>
      <c r="N73" s="75">
        <f t="shared" si="14"/>
        <v>8779635.5399999991</v>
      </c>
      <c r="O73" s="75">
        <f t="shared" si="14"/>
        <v>0</v>
      </c>
    </row>
    <row r="74" spans="1:15" x14ac:dyDescent="0.25">
      <c r="A74" s="66" t="s">
        <v>211</v>
      </c>
      <c r="B74" s="72">
        <f>FR!C74+FR!D74+FR!E74</f>
        <v>0</v>
      </c>
      <c r="C74" s="72">
        <f>FR!D74+FR!E74+FR!F74</f>
        <v>0</v>
      </c>
      <c r="D74" s="72">
        <f>FR!E74+FR!F74+FR!G74</f>
        <v>0</v>
      </c>
      <c r="E74" s="72">
        <f>FR!F74+FR!G74+FR!H74</f>
        <v>0</v>
      </c>
      <c r="F74" s="833"/>
      <c r="G74" s="72">
        <f>VS!C74+VS!D74+VS!E74</f>
        <v>0</v>
      </c>
      <c r="H74" s="72">
        <f>VS!F74+VS!G74+VS!H74</f>
        <v>0</v>
      </c>
      <c r="I74" s="72">
        <f>VS!I74+VS!J74+VS!K74</f>
        <v>0</v>
      </c>
      <c r="J74" s="73">
        <f>VS!L74+VS!M74+VS!N74</f>
        <v>0</v>
      </c>
      <c r="K74" s="833"/>
      <c r="L74" s="15">
        <f t="shared" ref="L74:L82" si="15">SUM(B74+G74)</f>
        <v>0</v>
      </c>
      <c r="M74" s="15">
        <f t="shared" si="14"/>
        <v>0</v>
      </c>
      <c r="N74" s="15">
        <f t="shared" si="14"/>
        <v>0</v>
      </c>
      <c r="O74" s="15">
        <f t="shared" si="14"/>
        <v>0</v>
      </c>
    </row>
    <row r="75" spans="1:15" x14ac:dyDescent="0.25">
      <c r="A75" s="66" t="s">
        <v>212</v>
      </c>
      <c r="B75" s="72">
        <f>FR!C75+FR!D75+FR!E75</f>
        <v>0</v>
      </c>
      <c r="C75" s="72">
        <f>FR!D75+FR!E75+FR!F75</f>
        <v>0</v>
      </c>
      <c r="D75" s="72">
        <f>FR!E75+FR!F75+FR!G75</f>
        <v>0</v>
      </c>
      <c r="E75" s="72">
        <f>FR!F75+FR!G75+FR!H75</f>
        <v>0</v>
      </c>
      <c r="F75" s="833"/>
      <c r="G75" s="72">
        <f>VS!C75+VS!D75+VS!E75</f>
        <v>0</v>
      </c>
      <c r="H75" s="72">
        <f>VS!F75+VS!G75+VS!H75</f>
        <v>0</v>
      </c>
      <c r="I75" s="72">
        <f>VS!I75+VS!J75+VS!K75</f>
        <v>0</v>
      </c>
      <c r="J75" s="73">
        <f>VS!L75+VS!M75+VS!N75</f>
        <v>0</v>
      </c>
      <c r="K75" s="833"/>
      <c r="L75" s="15">
        <f t="shared" si="15"/>
        <v>0</v>
      </c>
      <c r="M75" s="15">
        <f t="shared" si="14"/>
        <v>0</v>
      </c>
      <c r="N75" s="15">
        <f t="shared" si="14"/>
        <v>0</v>
      </c>
      <c r="O75" s="15">
        <f t="shared" si="14"/>
        <v>0</v>
      </c>
    </row>
    <row r="76" spans="1:15" x14ac:dyDescent="0.25">
      <c r="A76" s="71" t="s">
        <v>213</v>
      </c>
      <c r="B76" s="72">
        <f>FR!C76+FR!D76+FR!E76</f>
        <v>0</v>
      </c>
      <c r="C76" s="72">
        <f>FR!D76+FR!E76+FR!F76</f>
        <v>0</v>
      </c>
      <c r="D76" s="72">
        <f>FR!E76+FR!F76+FR!G76</f>
        <v>0</v>
      </c>
      <c r="E76" s="72">
        <f>FR!F76+FR!G76+FR!H76</f>
        <v>0</v>
      </c>
      <c r="F76" s="833"/>
      <c r="G76" s="72">
        <f>VS!C76+VS!D76+VS!E76</f>
        <v>0</v>
      </c>
      <c r="H76" s="72">
        <f>VS!F76+VS!G76+VS!H76</f>
        <v>0</v>
      </c>
      <c r="I76" s="72">
        <f>VS!I76+VS!J76+VS!K76</f>
        <v>0</v>
      </c>
      <c r="J76" s="73">
        <f>VS!L76+VS!M76+VS!N76</f>
        <v>0</v>
      </c>
      <c r="K76" s="833"/>
      <c r="L76" s="15">
        <f t="shared" si="15"/>
        <v>0</v>
      </c>
      <c r="M76" s="15">
        <f t="shared" si="14"/>
        <v>0</v>
      </c>
      <c r="N76" s="15">
        <f t="shared" si="14"/>
        <v>0</v>
      </c>
      <c r="O76" s="15">
        <f t="shared" si="14"/>
        <v>0</v>
      </c>
    </row>
    <row r="77" spans="1:15" x14ac:dyDescent="0.25">
      <c r="A77" s="71" t="s">
        <v>214</v>
      </c>
      <c r="B77" s="72">
        <f>FR!C77+FR!D77+FR!E77</f>
        <v>0</v>
      </c>
      <c r="C77" s="72">
        <f>FR!D77+FR!E77+FR!F77</f>
        <v>0</v>
      </c>
      <c r="D77" s="72">
        <f>FR!E77+FR!F77+FR!G77</f>
        <v>0</v>
      </c>
      <c r="E77" s="72">
        <f>FR!F77+FR!G77+FR!H77</f>
        <v>0</v>
      </c>
      <c r="F77" s="833"/>
      <c r="G77" s="72">
        <f>VS!C77+VS!D77+VS!E77</f>
        <v>0</v>
      </c>
      <c r="H77" s="72">
        <f>VS!F77+VS!G77+VS!H77</f>
        <v>0</v>
      </c>
      <c r="I77" s="72">
        <f>VS!I77+VS!J77+VS!K77</f>
        <v>0</v>
      </c>
      <c r="J77" s="73">
        <f>VS!L77+VS!M77+VS!N77</f>
        <v>0</v>
      </c>
      <c r="K77" s="833"/>
      <c r="L77" s="15">
        <f t="shared" si="15"/>
        <v>0</v>
      </c>
      <c r="M77" s="15">
        <f t="shared" si="14"/>
        <v>0</v>
      </c>
      <c r="N77" s="15">
        <f t="shared" si="14"/>
        <v>0</v>
      </c>
      <c r="O77" s="15">
        <f t="shared" si="14"/>
        <v>0</v>
      </c>
    </row>
    <row r="78" spans="1:15" x14ac:dyDescent="0.25">
      <c r="A78" s="66" t="s">
        <v>215</v>
      </c>
      <c r="B78" s="72">
        <f>FR!C78+FR!D78+FR!E78</f>
        <v>0</v>
      </c>
      <c r="C78" s="72">
        <f>FR!D78+FR!E78+FR!F78</f>
        <v>0</v>
      </c>
      <c r="D78" s="72">
        <f>FR!E78+FR!F78+FR!G78</f>
        <v>0</v>
      </c>
      <c r="E78" s="72">
        <f>FR!F78+FR!G78+FR!H78</f>
        <v>0</v>
      </c>
      <c r="F78" s="833"/>
      <c r="G78" s="72">
        <f>VS!C78+VS!D78+VS!E78</f>
        <v>0</v>
      </c>
      <c r="H78" s="72">
        <f>VS!F78+VS!G78+VS!H78</f>
        <v>0</v>
      </c>
      <c r="I78" s="72">
        <f>VS!I78+VS!J78+VS!K78</f>
        <v>0</v>
      </c>
      <c r="J78" s="73">
        <f>VS!L78+VS!M78+VS!N78</f>
        <v>0</v>
      </c>
      <c r="K78" s="833"/>
      <c r="L78" s="15">
        <f t="shared" si="15"/>
        <v>0</v>
      </c>
      <c r="M78" s="15">
        <f t="shared" si="14"/>
        <v>0</v>
      </c>
      <c r="N78" s="15">
        <f t="shared" si="14"/>
        <v>0</v>
      </c>
      <c r="O78" s="15">
        <f t="shared" si="14"/>
        <v>0</v>
      </c>
    </row>
    <row r="79" spans="1:15" x14ac:dyDescent="0.25">
      <c r="A79" s="71" t="s">
        <v>216</v>
      </c>
      <c r="B79" s="72">
        <f>FR!C79+FR!D79+FR!E79</f>
        <v>0</v>
      </c>
      <c r="C79" s="72">
        <f>FR!D79+FR!E79+FR!F79</f>
        <v>0</v>
      </c>
      <c r="D79" s="72">
        <f>FR!E79+FR!F79+FR!G79</f>
        <v>0</v>
      </c>
      <c r="E79" s="72">
        <f>FR!F79+FR!G79+FR!H79</f>
        <v>0</v>
      </c>
      <c r="F79" s="833"/>
      <c r="G79" s="72">
        <f>VS!C79+VS!D79+VS!E79</f>
        <v>0</v>
      </c>
      <c r="H79" s="72">
        <f>VS!F79+VS!G79+VS!H79</f>
        <v>0</v>
      </c>
      <c r="I79" s="72">
        <f>VS!I79+VS!J79+VS!K79</f>
        <v>0</v>
      </c>
      <c r="J79" s="73">
        <f>VS!L79+VS!M79+VS!N79</f>
        <v>0</v>
      </c>
      <c r="K79" s="833"/>
      <c r="L79" s="15">
        <f t="shared" si="15"/>
        <v>0</v>
      </c>
      <c r="M79" s="15">
        <f t="shared" si="14"/>
        <v>0</v>
      </c>
      <c r="N79" s="15">
        <f t="shared" si="14"/>
        <v>0</v>
      </c>
      <c r="O79" s="15">
        <f t="shared" si="14"/>
        <v>0</v>
      </c>
    </row>
    <row r="80" spans="1:15" x14ac:dyDescent="0.25">
      <c r="A80" s="71" t="s">
        <v>217</v>
      </c>
      <c r="B80" s="72">
        <f>FR!C80+FR!D80+FR!E80</f>
        <v>0</v>
      </c>
      <c r="C80" s="72">
        <f>FR!D80+FR!E80+FR!F80</f>
        <v>0</v>
      </c>
      <c r="D80" s="72">
        <f>FR!E80+FR!F80+FR!G80</f>
        <v>0</v>
      </c>
      <c r="E80" s="72">
        <f>FR!F80+FR!G80+FR!H80</f>
        <v>0</v>
      </c>
      <c r="F80" s="833"/>
      <c r="G80" s="72">
        <f>VS!C80+VS!D80+VS!E80</f>
        <v>0</v>
      </c>
      <c r="H80" s="72">
        <f>VS!F80+VS!G80+VS!H80</f>
        <v>0</v>
      </c>
      <c r="I80" s="72">
        <f>VS!I80+VS!J80+VS!K80</f>
        <v>0</v>
      </c>
      <c r="J80" s="73">
        <f>VS!L80+VS!M80+VS!N80</f>
        <v>0</v>
      </c>
      <c r="K80" s="833"/>
      <c r="L80" s="15">
        <f t="shared" si="15"/>
        <v>0</v>
      </c>
      <c r="M80" s="15">
        <f t="shared" si="14"/>
        <v>0</v>
      </c>
      <c r="N80" s="15">
        <f t="shared" si="14"/>
        <v>0</v>
      </c>
      <c r="O80" s="15">
        <f t="shared" si="14"/>
        <v>0</v>
      </c>
    </row>
    <row r="81" spans="1:15" x14ac:dyDescent="0.25">
      <c r="A81" s="66" t="s">
        <v>218</v>
      </c>
      <c r="B81" s="72">
        <f>FR!C81+FR!D81+FR!E81</f>
        <v>0</v>
      </c>
      <c r="C81" s="72">
        <f>FR!D81+FR!E81+FR!F81</f>
        <v>0</v>
      </c>
      <c r="D81" s="72">
        <f>FR!E81+FR!F81+FR!G81</f>
        <v>0</v>
      </c>
      <c r="E81" s="72">
        <f>FR!F81+FR!G81+FR!H81</f>
        <v>0</v>
      </c>
      <c r="F81" s="833"/>
      <c r="G81" s="72">
        <f>VS!C81+VS!D81+VS!E81</f>
        <v>0</v>
      </c>
      <c r="H81" s="72">
        <f>VS!F81+VS!G81+VS!H81</f>
        <v>0</v>
      </c>
      <c r="I81" s="72">
        <f>VS!I81+VS!J81+VS!K81</f>
        <v>0</v>
      </c>
      <c r="J81" s="73">
        <f>VS!L81+VS!M81+VS!N81</f>
        <v>0</v>
      </c>
      <c r="K81" s="833"/>
      <c r="L81" s="15">
        <f t="shared" si="15"/>
        <v>0</v>
      </c>
      <c r="M81" s="15">
        <f t="shared" si="14"/>
        <v>0</v>
      </c>
      <c r="N81" s="15">
        <f t="shared" si="14"/>
        <v>0</v>
      </c>
      <c r="O81" s="15">
        <f t="shared" si="14"/>
        <v>0</v>
      </c>
    </row>
    <row r="82" spans="1:15" x14ac:dyDescent="0.25">
      <c r="A82" s="71" t="s">
        <v>219</v>
      </c>
      <c r="B82" s="72">
        <f>FR!C82+FR!D82+FR!E82</f>
        <v>0</v>
      </c>
      <c r="C82" s="72">
        <f>FR!D82+FR!E82+FR!F82</f>
        <v>0</v>
      </c>
      <c r="D82" s="72">
        <f>FR!E82+FR!F82+FR!G82</f>
        <v>0</v>
      </c>
      <c r="E82" s="72">
        <f>FR!F82+FR!G82+FR!H82</f>
        <v>0</v>
      </c>
      <c r="F82" s="833"/>
      <c r="G82" s="72">
        <f>VS!C82+VS!D82+VS!E82</f>
        <v>0</v>
      </c>
      <c r="H82" s="72">
        <f>VS!F82+VS!G82+VS!H82</f>
        <v>0</v>
      </c>
      <c r="I82" s="72">
        <f>VS!I82+VS!J82+VS!K82</f>
        <v>0</v>
      </c>
      <c r="J82" s="73">
        <f>VS!L82+VS!M82+VS!N82</f>
        <v>0</v>
      </c>
      <c r="K82" s="833"/>
      <c r="L82" s="15">
        <f t="shared" si="15"/>
        <v>0</v>
      </c>
      <c r="M82" s="15">
        <f t="shared" si="14"/>
        <v>0</v>
      </c>
      <c r="N82" s="15">
        <f t="shared" si="14"/>
        <v>0</v>
      </c>
      <c r="O82" s="15">
        <f t="shared" si="14"/>
        <v>0</v>
      </c>
    </row>
    <row r="83" spans="1:15" s="74" customFormat="1" x14ac:dyDescent="0.25">
      <c r="A83" s="68" t="s">
        <v>220</v>
      </c>
      <c r="B83" s="69">
        <f>SUM(B84)</f>
        <v>0</v>
      </c>
      <c r="C83" s="69">
        <f>SUM(C84)</f>
        <v>0</v>
      </c>
      <c r="D83" s="69">
        <f>SUM(D84)</f>
        <v>0</v>
      </c>
      <c r="E83" s="69">
        <f>SUM(E84)</f>
        <v>0</v>
      </c>
      <c r="F83" s="833"/>
      <c r="G83" s="69">
        <f>SUM(G84)</f>
        <v>0</v>
      </c>
      <c r="H83" s="69">
        <f>SUM(H84)</f>
        <v>0</v>
      </c>
      <c r="I83" s="69">
        <f>SUM(I84)</f>
        <v>0</v>
      </c>
      <c r="J83" s="69">
        <f>SUM(J84)</f>
        <v>0</v>
      </c>
      <c r="K83" s="833"/>
      <c r="L83" s="75">
        <f>SUM(B83+G83)</f>
        <v>0</v>
      </c>
      <c r="M83" s="75">
        <f t="shared" si="14"/>
        <v>0</v>
      </c>
      <c r="N83" s="75">
        <f t="shared" si="14"/>
        <v>0</v>
      </c>
      <c r="O83" s="75">
        <f t="shared" si="14"/>
        <v>0</v>
      </c>
    </row>
    <row r="84" spans="1:15" ht="15.75" x14ac:dyDescent="0.25">
      <c r="A84" s="76" t="s">
        <v>221</v>
      </c>
      <c r="B84" s="72">
        <f>FR!C84+FR!D84+FR!E84</f>
        <v>0</v>
      </c>
      <c r="C84" s="72">
        <f>FR!D84+FR!E84+FR!F84</f>
        <v>0</v>
      </c>
      <c r="D84" s="72">
        <f>FR!E84+FR!F84+FR!G84</f>
        <v>0</v>
      </c>
      <c r="E84" s="72">
        <f>FR!F84+FR!G84+FR!H84</f>
        <v>0</v>
      </c>
      <c r="F84" s="834"/>
      <c r="G84" s="72">
        <f>FR!H84+FR!I84+FR!J84</f>
        <v>0</v>
      </c>
      <c r="H84" s="72">
        <f>VS!F84+VS!G84+VS!H84</f>
        <v>0</v>
      </c>
      <c r="I84" s="72">
        <f>FR!J84+FR!K84+FR!L84</f>
        <v>0</v>
      </c>
      <c r="J84" s="72">
        <f>FR!K84+FR!L84+FR!M84</f>
        <v>0</v>
      </c>
      <c r="K84" s="834"/>
      <c r="L84" s="15">
        <f>SUM(B84+G84)</f>
        <v>0</v>
      </c>
      <c r="M84" s="15">
        <f>SUM(C84+H84)</f>
        <v>0</v>
      </c>
      <c r="N84" s="15">
        <f>SUM(D84+I84)</f>
        <v>0</v>
      </c>
      <c r="O84" s="15">
        <f>SUM(E84+J84)</f>
        <v>0</v>
      </c>
    </row>
    <row r="90" spans="1:15" x14ac:dyDescent="0.25">
      <c r="E90" s="243"/>
    </row>
  </sheetData>
  <mergeCells count="10">
    <mergeCell ref="B7:E7"/>
    <mergeCell ref="F7:F84"/>
    <mergeCell ref="G7:J7"/>
    <mergeCell ref="K7:K84"/>
    <mergeCell ref="L7:O7"/>
    <mergeCell ref="A1:O1"/>
    <mergeCell ref="A2:O2"/>
    <mergeCell ref="A3:O3"/>
    <mergeCell ref="A4:O4"/>
    <mergeCell ref="A5:O5"/>
  </mergeCells>
  <pageMargins left="0.7" right="0.7" top="0.75" bottom="0.75" header="0.3" footer="0.3"/>
  <pageSetup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88"/>
  <sheetViews>
    <sheetView workbookViewId="0">
      <selection activeCell="G73" sqref="G73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10" width="12.5703125" bestFit="1" customWidth="1"/>
    <col min="11" max="11" width="12.42578125" bestFit="1" customWidth="1"/>
    <col min="12" max="12" width="14.5703125" bestFit="1" customWidth="1"/>
    <col min="13" max="13" width="11.85546875" customWidth="1"/>
    <col min="14" max="14" width="12.7109375" bestFit="1" customWidth="1"/>
  </cols>
  <sheetData>
    <row r="1" spans="1:14" ht="18.75" x14ac:dyDescent="0.25">
      <c r="A1" s="827" t="s">
        <v>83</v>
      </c>
      <c r="B1" s="827"/>
      <c r="C1" s="827"/>
      <c r="D1" s="827"/>
      <c r="E1" s="827"/>
      <c r="F1" s="827"/>
      <c r="G1" s="827"/>
      <c r="H1" s="827"/>
      <c r="I1" s="827"/>
      <c r="J1" s="827"/>
      <c r="K1" s="827"/>
      <c r="L1" s="827"/>
      <c r="M1" s="827"/>
      <c r="N1" s="827"/>
    </row>
    <row r="2" spans="1:14" ht="18.75" x14ac:dyDescent="0.25">
      <c r="A2" s="827" t="s">
        <v>320</v>
      </c>
      <c r="B2" s="827"/>
      <c r="C2" s="827"/>
      <c r="D2" s="827"/>
      <c r="E2" s="827"/>
      <c r="F2" s="827"/>
      <c r="G2" s="827"/>
      <c r="H2" s="827"/>
      <c r="I2" s="827"/>
      <c r="J2" s="827"/>
      <c r="K2" s="827"/>
      <c r="L2" s="827"/>
      <c r="M2" s="827"/>
      <c r="N2" s="827"/>
    </row>
    <row r="3" spans="1:14" ht="18.75" x14ac:dyDescent="0.25">
      <c r="A3" s="827" t="s">
        <v>671</v>
      </c>
      <c r="B3" s="827"/>
      <c r="C3" s="827"/>
      <c r="D3" s="827"/>
      <c r="E3" s="827"/>
      <c r="F3" s="827"/>
      <c r="G3" s="827"/>
      <c r="H3" s="827"/>
      <c r="I3" s="827"/>
      <c r="J3" s="827"/>
      <c r="K3" s="827"/>
      <c r="L3" s="827"/>
      <c r="M3" s="827"/>
      <c r="N3" s="827"/>
    </row>
    <row r="4" spans="1:14" ht="15.75" x14ac:dyDescent="0.25">
      <c r="A4" s="828" t="s">
        <v>596</v>
      </c>
      <c r="B4" s="828"/>
      <c r="C4" s="828"/>
      <c r="D4" s="828"/>
      <c r="E4" s="828"/>
      <c r="F4" s="828"/>
      <c r="G4" s="828"/>
      <c r="H4" s="828"/>
      <c r="I4" s="828"/>
      <c r="J4" s="828"/>
      <c r="K4" s="828"/>
      <c r="L4" s="828"/>
      <c r="M4" s="828"/>
      <c r="N4" s="828"/>
    </row>
    <row r="5" spans="1:14" x14ac:dyDescent="0.25">
      <c r="A5" s="829" t="s">
        <v>138</v>
      </c>
      <c r="B5" s="829"/>
      <c r="C5" s="829"/>
      <c r="D5" s="829"/>
      <c r="E5" s="829"/>
      <c r="F5" s="829"/>
      <c r="G5" s="829"/>
      <c r="H5" s="829"/>
      <c r="I5" s="829"/>
      <c r="J5" s="829"/>
      <c r="K5" s="829"/>
      <c r="L5" s="829"/>
      <c r="M5" s="829"/>
      <c r="N5" s="829"/>
    </row>
    <row r="7" spans="1:14" ht="15.75" x14ac:dyDescent="0.25">
      <c r="A7" s="77" t="s">
        <v>139</v>
      </c>
      <c r="B7" s="78" t="s">
        <v>44</v>
      </c>
      <c r="C7" s="78" t="s">
        <v>222</v>
      </c>
      <c r="D7" s="78" t="s">
        <v>223</v>
      </c>
      <c r="E7" s="78" t="s">
        <v>224</v>
      </c>
      <c r="F7" s="78" t="s">
        <v>225</v>
      </c>
      <c r="G7" s="78" t="s">
        <v>226</v>
      </c>
      <c r="H7" s="78" t="s">
        <v>227</v>
      </c>
      <c r="I7" s="78" t="s">
        <v>228</v>
      </c>
      <c r="J7" s="78" t="s">
        <v>229</v>
      </c>
      <c r="K7" s="78" t="s">
        <v>230</v>
      </c>
      <c r="L7" s="78" t="s">
        <v>231</v>
      </c>
      <c r="M7" s="78" t="s">
        <v>232</v>
      </c>
      <c r="N7" s="78" t="s">
        <v>233</v>
      </c>
    </row>
    <row r="8" spans="1:14" x14ac:dyDescent="0.25">
      <c r="A8" s="66" t="s">
        <v>141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>
        <v>0</v>
      </c>
      <c r="M8" s="79"/>
      <c r="N8" s="79"/>
    </row>
    <row r="9" spans="1:14" ht="30" x14ac:dyDescent="0.25">
      <c r="A9" s="68" t="s">
        <v>146</v>
      </c>
      <c r="B9" s="80">
        <f t="shared" ref="B9:B15" si="0">SUM(C9:N9)</f>
        <v>0</v>
      </c>
      <c r="C9" s="81">
        <f>SUM(C10:C14)</f>
        <v>0</v>
      </c>
      <c r="D9" s="81">
        <f t="shared" ref="D9:N9" si="1">SUM(D10:D14)</f>
        <v>0</v>
      </c>
      <c r="E9" s="81">
        <f t="shared" si="1"/>
        <v>0</v>
      </c>
      <c r="F9" s="81">
        <f t="shared" si="1"/>
        <v>0</v>
      </c>
      <c r="G9" s="81">
        <f t="shared" si="1"/>
        <v>0</v>
      </c>
      <c r="H9" s="81">
        <f t="shared" si="1"/>
        <v>0</v>
      </c>
      <c r="I9" s="81">
        <f t="shared" si="1"/>
        <v>0</v>
      </c>
      <c r="J9" s="81">
        <f t="shared" si="1"/>
        <v>0</v>
      </c>
      <c r="K9" s="81">
        <f t="shared" si="1"/>
        <v>0</v>
      </c>
      <c r="L9" s="81">
        <f t="shared" si="1"/>
        <v>0</v>
      </c>
      <c r="M9" s="81">
        <f t="shared" si="1"/>
        <v>0</v>
      </c>
      <c r="N9" s="81">
        <f t="shared" si="1"/>
        <v>0</v>
      </c>
    </row>
    <row r="10" spans="1:14" x14ac:dyDescent="0.25">
      <c r="A10" s="71" t="s">
        <v>147</v>
      </c>
      <c r="B10" s="16">
        <f t="shared" si="0"/>
        <v>0</v>
      </c>
      <c r="C10" s="82"/>
      <c r="D10" s="82"/>
      <c r="E10" s="82"/>
      <c r="F10" s="82"/>
      <c r="G10" s="82"/>
      <c r="H10" s="82"/>
      <c r="I10" s="82">
        <v>0</v>
      </c>
      <c r="J10" s="82"/>
      <c r="K10" s="82">
        <v>0</v>
      </c>
      <c r="L10" s="82">
        <v>0</v>
      </c>
      <c r="M10" s="82">
        <v>0</v>
      </c>
      <c r="N10" s="82">
        <v>0</v>
      </c>
    </row>
    <row r="11" spans="1:14" x14ac:dyDescent="0.25">
      <c r="A11" s="71" t="s">
        <v>148</v>
      </c>
      <c r="B11" s="16">
        <f t="shared" si="0"/>
        <v>0</v>
      </c>
      <c r="C11" s="82"/>
      <c r="D11" s="82"/>
      <c r="E11" s="82"/>
      <c r="F11" s="82"/>
      <c r="G11" s="82"/>
      <c r="H11" s="82"/>
      <c r="I11" s="82">
        <v>0</v>
      </c>
      <c r="J11" s="82"/>
      <c r="K11" s="82">
        <v>0</v>
      </c>
      <c r="L11" s="82">
        <v>0</v>
      </c>
      <c r="M11" s="82">
        <v>0</v>
      </c>
      <c r="N11" s="82">
        <v>0</v>
      </c>
    </row>
    <row r="12" spans="1:14" ht="30" x14ac:dyDescent="0.25">
      <c r="A12" s="71" t="s">
        <v>149</v>
      </c>
      <c r="B12" s="16">
        <f t="shared" si="0"/>
        <v>0</v>
      </c>
      <c r="C12" s="82"/>
      <c r="D12" s="82"/>
      <c r="E12" s="82"/>
      <c r="F12" s="82"/>
      <c r="G12" s="82"/>
      <c r="H12" s="82"/>
      <c r="I12" s="82">
        <v>0</v>
      </c>
      <c r="J12" s="82"/>
      <c r="K12" s="82">
        <v>0</v>
      </c>
      <c r="L12" s="82">
        <v>0</v>
      </c>
      <c r="M12" s="82">
        <v>0</v>
      </c>
      <c r="N12" s="82">
        <v>0</v>
      </c>
    </row>
    <row r="13" spans="1:14" ht="30" x14ac:dyDescent="0.25">
      <c r="A13" s="71" t="s">
        <v>150</v>
      </c>
      <c r="B13" s="16">
        <f t="shared" si="0"/>
        <v>0</v>
      </c>
      <c r="C13" s="82"/>
      <c r="D13" s="82"/>
      <c r="E13" s="82"/>
      <c r="F13" s="82"/>
      <c r="G13" s="82"/>
      <c r="H13" s="82"/>
      <c r="I13" s="82">
        <v>0</v>
      </c>
      <c r="J13" s="82"/>
      <c r="K13" s="82">
        <v>0</v>
      </c>
      <c r="L13" s="82">
        <v>0</v>
      </c>
      <c r="M13" s="82">
        <v>0</v>
      </c>
      <c r="N13" s="82">
        <v>0</v>
      </c>
    </row>
    <row r="14" spans="1:14" ht="30" x14ac:dyDescent="0.25">
      <c r="A14" s="71" t="s">
        <v>151</v>
      </c>
      <c r="B14" s="16">
        <f t="shared" si="0"/>
        <v>0</v>
      </c>
      <c r="C14" s="82"/>
      <c r="D14" s="82"/>
      <c r="E14" s="82"/>
      <c r="F14" s="82"/>
      <c r="G14" s="82"/>
      <c r="H14" s="82"/>
      <c r="I14" s="82">
        <v>0</v>
      </c>
      <c r="J14" s="82"/>
      <c r="K14" s="82">
        <v>0</v>
      </c>
      <c r="L14" s="82">
        <v>0</v>
      </c>
      <c r="M14" s="82">
        <v>0</v>
      </c>
      <c r="N14" s="82">
        <v>0</v>
      </c>
    </row>
    <row r="15" spans="1:14" x14ac:dyDescent="0.25">
      <c r="A15" s="68" t="s">
        <v>152</v>
      </c>
      <c r="B15" s="80">
        <f t="shared" si="0"/>
        <v>855205.95</v>
      </c>
      <c r="C15" s="81">
        <f>SUM(C16:C24)</f>
        <v>205194.84</v>
      </c>
      <c r="D15" s="81">
        <f t="shared" ref="D15:N15" si="2">SUM(D16:D24)</f>
        <v>165196.9</v>
      </c>
      <c r="E15" s="81">
        <f t="shared" si="2"/>
        <v>144434.54999999999</v>
      </c>
      <c r="F15" s="81">
        <f t="shared" si="2"/>
        <v>174586.62</v>
      </c>
      <c r="G15" s="81">
        <f t="shared" si="2"/>
        <v>165793.03999999998</v>
      </c>
      <c r="H15" s="81">
        <f t="shared" si="2"/>
        <v>0</v>
      </c>
      <c r="I15" s="81">
        <f t="shared" si="2"/>
        <v>0</v>
      </c>
      <c r="J15" s="81">
        <f t="shared" si="2"/>
        <v>0</v>
      </c>
      <c r="K15" s="81">
        <f t="shared" si="2"/>
        <v>0</v>
      </c>
      <c r="L15" s="81">
        <f t="shared" si="2"/>
        <v>0</v>
      </c>
      <c r="M15" s="81">
        <f t="shared" si="2"/>
        <v>0</v>
      </c>
      <c r="N15" s="81">
        <f t="shared" si="2"/>
        <v>0</v>
      </c>
    </row>
    <row r="16" spans="1:14" x14ac:dyDescent="0.25">
      <c r="A16" s="71" t="s">
        <v>153</v>
      </c>
      <c r="B16" s="16">
        <f t="shared" ref="B16:B24" si="3">SUM(C16:N16)</f>
        <v>660265.94999999995</v>
      </c>
      <c r="C16" s="82">
        <v>160034.84</v>
      </c>
      <c r="D16" s="82">
        <v>125416.9</v>
      </c>
      <c r="E16" s="82">
        <v>115234.55</v>
      </c>
      <c r="F16" s="82">
        <v>139286.62</v>
      </c>
      <c r="G16" s="82">
        <v>120293.04</v>
      </c>
      <c r="H16" s="82">
        <v>0</v>
      </c>
      <c r="I16" s="82">
        <v>0</v>
      </c>
      <c r="J16" s="82">
        <v>0</v>
      </c>
      <c r="K16" s="82">
        <v>0</v>
      </c>
      <c r="L16" s="82">
        <v>0</v>
      </c>
      <c r="M16" s="82">
        <v>0</v>
      </c>
      <c r="N16" s="82">
        <v>0</v>
      </c>
    </row>
    <row r="17" spans="1:14" ht="30" x14ac:dyDescent="0.25">
      <c r="A17" s="71" t="s">
        <v>154</v>
      </c>
      <c r="B17" s="16">
        <f>SUM(C17:N17)</f>
        <v>0</v>
      </c>
      <c r="C17" s="82">
        <v>0</v>
      </c>
      <c r="D17" s="82">
        <v>0</v>
      </c>
      <c r="E17" s="82">
        <v>0</v>
      </c>
      <c r="F17" s="82">
        <v>0</v>
      </c>
      <c r="G17" s="82">
        <v>0</v>
      </c>
      <c r="H17" s="82">
        <v>0</v>
      </c>
      <c r="I17" s="82">
        <v>0</v>
      </c>
      <c r="J17" s="82">
        <v>0</v>
      </c>
      <c r="K17" s="82">
        <v>0</v>
      </c>
      <c r="L17" s="82">
        <v>0</v>
      </c>
      <c r="M17" s="82">
        <v>0</v>
      </c>
      <c r="N17" s="82">
        <v>0</v>
      </c>
    </row>
    <row r="18" spans="1:14" x14ac:dyDescent="0.25">
      <c r="A18" s="71" t="s">
        <v>155</v>
      </c>
      <c r="B18" s="16">
        <f t="shared" si="3"/>
        <v>190810</v>
      </c>
      <c r="C18" s="82">
        <f>45160</f>
        <v>45160</v>
      </c>
      <c r="D18" s="82">
        <v>35650</v>
      </c>
      <c r="E18" s="82">
        <v>29200</v>
      </c>
      <c r="F18" s="82">
        <v>35300</v>
      </c>
      <c r="G18" s="82">
        <v>45500</v>
      </c>
      <c r="H18" s="82">
        <v>0</v>
      </c>
      <c r="I18" s="82">
        <v>0</v>
      </c>
      <c r="J18" s="82">
        <v>0</v>
      </c>
      <c r="K18" s="82">
        <v>0</v>
      </c>
      <c r="L18" s="82">
        <v>0</v>
      </c>
      <c r="M18" s="82">
        <v>0</v>
      </c>
      <c r="N18" s="82">
        <v>0</v>
      </c>
    </row>
    <row r="19" spans="1:14" ht="18" customHeight="1" x14ac:dyDescent="0.25">
      <c r="A19" s="71" t="s">
        <v>156</v>
      </c>
      <c r="B19" s="16">
        <f t="shared" si="3"/>
        <v>0</v>
      </c>
      <c r="C19" s="82">
        <v>0</v>
      </c>
      <c r="D19" s="82">
        <v>0</v>
      </c>
      <c r="E19" s="82">
        <v>0</v>
      </c>
      <c r="F19" s="82">
        <v>0</v>
      </c>
      <c r="G19" s="82">
        <v>0</v>
      </c>
      <c r="H19" s="82">
        <v>0</v>
      </c>
      <c r="I19" s="82">
        <v>0</v>
      </c>
      <c r="J19" s="82">
        <v>0</v>
      </c>
      <c r="K19" s="82">
        <v>0</v>
      </c>
      <c r="L19" s="82">
        <v>0</v>
      </c>
      <c r="M19" s="82">
        <v>0</v>
      </c>
      <c r="N19" s="82">
        <v>0</v>
      </c>
    </row>
    <row r="20" spans="1:14" x14ac:dyDescent="0.25">
      <c r="A20" s="71" t="s">
        <v>157</v>
      </c>
      <c r="B20" s="16">
        <f t="shared" si="3"/>
        <v>0</v>
      </c>
      <c r="C20" s="82">
        <v>0</v>
      </c>
      <c r="D20" s="82">
        <v>0</v>
      </c>
      <c r="E20" s="82">
        <v>0</v>
      </c>
      <c r="F20" s="82">
        <v>0</v>
      </c>
      <c r="G20" s="82">
        <v>0</v>
      </c>
      <c r="H20" s="82">
        <v>0</v>
      </c>
      <c r="I20" s="82">
        <v>0</v>
      </c>
      <c r="J20" s="82">
        <v>0</v>
      </c>
      <c r="K20" s="82">
        <v>0</v>
      </c>
      <c r="L20" s="82">
        <v>0</v>
      </c>
      <c r="M20" s="82">
        <v>0</v>
      </c>
      <c r="N20" s="82">
        <v>0</v>
      </c>
    </row>
    <row r="21" spans="1:14" x14ac:dyDescent="0.25">
      <c r="A21" s="71" t="s">
        <v>158</v>
      </c>
      <c r="B21" s="16">
        <f t="shared" si="3"/>
        <v>0</v>
      </c>
      <c r="C21" s="82">
        <v>0</v>
      </c>
      <c r="D21" s="82">
        <v>0</v>
      </c>
      <c r="E21" s="82">
        <v>0</v>
      </c>
      <c r="F21" s="82">
        <v>0</v>
      </c>
      <c r="G21" s="82">
        <v>0</v>
      </c>
      <c r="H21" s="82">
        <v>0</v>
      </c>
      <c r="I21" s="82">
        <v>0</v>
      </c>
      <c r="J21" s="82">
        <v>0</v>
      </c>
      <c r="K21" s="82">
        <v>0</v>
      </c>
      <c r="L21" s="82">
        <v>0</v>
      </c>
      <c r="M21" s="82">
        <v>0</v>
      </c>
      <c r="N21" s="82">
        <v>0</v>
      </c>
    </row>
    <row r="22" spans="1:14" ht="45" x14ac:dyDescent="0.25">
      <c r="A22" s="71" t="s">
        <v>159</v>
      </c>
      <c r="B22" s="16">
        <f t="shared" si="3"/>
        <v>4130</v>
      </c>
      <c r="C22" s="82">
        <v>0</v>
      </c>
      <c r="D22" s="82">
        <f>4130</f>
        <v>4130</v>
      </c>
      <c r="E22" s="82">
        <v>0</v>
      </c>
      <c r="F22" s="82">
        <v>0</v>
      </c>
      <c r="G22" s="82">
        <v>0</v>
      </c>
      <c r="H22" s="82">
        <v>0</v>
      </c>
      <c r="I22" s="82">
        <v>0</v>
      </c>
      <c r="J22" s="82">
        <v>0</v>
      </c>
      <c r="K22" s="82">
        <v>0</v>
      </c>
      <c r="L22" s="82">
        <v>0</v>
      </c>
      <c r="M22" s="82">
        <v>0</v>
      </c>
      <c r="N22" s="82">
        <v>0</v>
      </c>
    </row>
    <row r="23" spans="1:14" ht="30" x14ac:dyDescent="0.25">
      <c r="A23" s="71" t="s">
        <v>160</v>
      </c>
      <c r="B23" s="16">
        <f t="shared" si="3"/>
        <v>0</v>
      </c>
      <c r="C23" s="82">
        <v>0</v>
      </c>
      <c r="D23" s="82">
        <v>0</v>
      </c>
      <c r="E23" s="82">
        <v>0</v>
      </c>
      <c r="F23" s="82">
        <v>0</v>
      </c>
      <c r="G23" s="82">
        <v>0</v>
      </c>
      <c r="H23" s="82">
        <v>0</v>
      </c>
      <c r="I23" s="82">
        <v>0</v>
      </c>
      <c r="J23" s="82">
        <v>0</v>
      </c>
      <c r="K23" s="82">
        <v>0</v>
      </c>
      <c r="L23" s="82">
        <v>0</v>
      </c>
      <c r="M23" s="82">
        <v>0</v>
      </c>
      <c r="N23" s="82">
        <v>0</v>
      </c>
    </row>
    <row r="24" spans="1:14" ht="30" x14ac:dyDescent="0.25">
      <c r="A24" s="71" t="s">
        <v>161</v>
      </c>
      <c r="B24" s="16">
        <f t="shared" si="3"/>
        <v>0</v>
      </c>
      <c r="C24" s="82">
        <v>0</v>
      </c>
      <c r="D24" s="82">
        <v>0</v>
      </c>
      <c r="E24" s="82">
        <v>0</v>
      </c>
      <c r="F24" s="82">
        <v>0</v>
      </c>
      <c r="G24" s="82">
        <v>0</v>
      </c>
      <c r="H24" s="82">
        <v>0</v>
      </c>
      <c r="I24" s="82">
        <v>0</v>
      </c>
      <c r="J24" s="82">
        <v>0</v>
      </c>
      <c r="K24" s="82">
        <v>0</v>
      </c>
      <c r="L24" s="82">
        <v>0</v>
      </c>
      <c r="M24" s="82">
        <v>0</v>
      </c>
      <c r="N24" s="82">
        <v>0</v>
      </c>
    </row>
    <row r="25" spans="1:14" x14ac:dyDescent="0.25">
      <c r="A25" s="68" t="s">
        <v>162</v>
      </c>
      <c r="B25" s="80">
        <f>SUM(C25:N25)</f>
        <v>11625135.73</v>
      </c>
      <c r="C25" s="81">
        <f>SUM(C26:C34)</f>
        <v>2290886.04</v>
      </c>
      <c r="D25" s="81">
        <f>SUM(D26:D34)</f>
        <v>2330883.9799999995</v>
      </c>
      <c r="E25" s="81">
        <f t="shared" ref="E25:M25" si="4">SUM(E26:E34)</f>
        <v>2351597.4</v>
      </c>
      <c r="F25" s="81">
        <f t="shared" si="4"/>
        <v>2321480.4700000002</v>
      </c>
      <c r="G25" s="81">
        <f t="shared" si="4"/>
        <v>2330287.84</v>
      </c>
      <c r="H25" s="81">
        <f t="shared" si="4"/>
        <v>0</v>
      </c>
      <c r="I25" s="81">
        <f t="shared" si="4"/>
        <v>0</v>
      </c>
      <c r="J25" s="81">
        <f t="shared" si="4"/>
        <v>0</v>
      </c>
      <c r="K25" s="81">
        <f t="shared" si="4"/>
        <v>0</v>
      </c>
      <c r="L25" s="81">
        <f t="shared" si="4"/>
        <v>0</v>
      </c>
      <c r="M25" s="81">
        <f t="shared" si="4"/>
        <v>0</v>
      </c>
      <c r="N25" s="81">
        <f>SUM(N26:N34)</f>
        <v>0</v>
      </c>
    </row>
    <row r="26" spans="1:14" ht="30" x14ac:dyDescent="0.25">
      <c r="A26" s="71" t="s">
        <v>163</v>
      </c>
      <c r="B26" s="16">
        <f t="shared" ref="B26:B34" si="5">SUM(C26:N26)</f>
        <v>424295</v>
      </c>
      <c r="C26" s="82">
        <v>101714</v>
      </c>
      <c r="D26" s="82">
        <v>124378</v>
      </c>
      <c r="E26" s="82">
        <v>22100</v>
      </c>
      <c r="F26" s="82">
        <v>93403</v>
      </c>
      <c r="G26" s="82">
        <v>82700</v>
      </c>
      <c r="H26" s="82">
        <v>0</v>
      </c>
      <c r="I26" s="82">
        <v>0</v>
      </c>
      <c r="J26" s="82">
        <v>0</v>
      </c>
      <c r="K26" s="82">
        <v>0</v>
      </c>
      <c r="L26" s="82">
        <v>0</v>
      </c>
      <c r="M26" s="82">
        <v>0</v>
      </c>
      <c r="N26" s="82">
        <v>0</v>
      </c>
    </row>
    <row r="27" spans="1:14" x14ac:dyDescent="0.25">
      <c r="A27" s="71" t="s">
        <v>164</v>
      </c>
      <c r="B27" s="16">
        <f t="shared" si="5"/>
        <v>0</v>
      </c>
      <c r="C27" s="82">
        <v>0</v>
      </c>
      <c r="D27" s="82">
        <v>0</v>
      </c>
      <c r="E27" s="82">
        <v>0</v>
      </c>
      <c r="F27" s="82">
        <v>0</v>
      </c>
      <c r="G27" s="82">
        <v>0</v>
      </c>
      <c r="H27" s="82">
        <v>0</v>
      </c>
      <c r="I27" s="82">
        <v>0</v>
      </c>
      <c r="J27" s="82">
        <v>0</v>
      </c>
      <c r="K27" s="82">
        <v>0</v>
      </c>
      <c r="L27" s="82">
        <v>0</v>
      </c>
      <c r="M27" s="82">
        <v>0</v>
      </c>
      <c r="N27" s="82">
        <v>0</v>
      </c>
    </row>
    <row r="28" spans="1:14" ht="30" x14ac:dyDescent="0.25">
      <c r="A28" s="71" t="s">
        <v>165</v>
      </c>
      <c r="B28" s="16">
        <f t="shared" si="5"/>
        <v>0</v>
      </c>
      <c r="C28" s="82">
        <v>0</v>
      </c>
      <c r="D28" s="82">
        <v>0</v>
      </c>
      <c r="E28" s="82">
        <v>0</v>
      </c>
      <c r="F28" s="82">
        <v>0</v>
      </c>
      <c r="G28" s="82">
        <v>0</v>
      </c>
      <c r="H28" s="82">
        <v>0</v>
      </c>
      <c r="I28" s="82">
        <v>0</v>
      </c>
      <c r="J28" s="82">
        <v>0</v>
      </c>
      <c r="K28" s="82">
        <v>0</v>
      </c>
      <c r="L28" s="82">
        <v>0</v>
      </c>
      <c r="M28" s="82">
        <v>0</v>
      </c>
      <c r="N28" s="82">
        <v>0</v>
      </c>
    </row>
    <row r="29" spans="1:14" x14ac:dyDescent="0.25">
      <c r="A29" s="71" t="s">
        <v>166</v>
      </c>
      <c r="B29" s="16">
        <f t="shared" si="5"/>
        <v>4546478.72</v>
      </c>
      <c r="C29" s="82">
        <v>641147.43999999994</v>
      </c>
      <c r="D29" s="82">
        <v>1076849.24</v>
      </c>
      <c r="E29" s="82">
        <v>1365772</v>
      </c>
      <c r="F29" s="82">
        <v>814788.05</v>
      </c>
      <c r="G29" s="82">
        <v>647921.99</v>
      </c>
      <c r="H29" s="82">
        <v>0</v>
      </c>
      <c r="I29" s="82">
        <v>0</v>
      </c>
      <c r="J29" s="82">
        <v>0</v>
      </c>
      <c r="K29" s="82">
        <v>0</v>
      </c>
      <c r="L29" s="82">
        <v>0</v>
      </c>
      <c r="M29" s="82">
        <v>0</v>
      </c>
      <c r="N29" s="82">
        <v>0</v>
      </c>
    </row>
    <row r="30" spans="1:14" ht="30" x14ac:dyDescent="0.25">
      <c r="A30" s="71" t="s">
        <v>167</v>
      </c>
      <c r="B30" s="16">
        <f t="shared" si="5"/>
        <v>0</v>
      </c>
      <c r="C30" s="82">
        <v>0</v>
      </c>
      <c r="D30" s="82">
        <v>0</v>
      </c>
      <c r="E30" s="82">
        <v>0</v>
      </c>
      <c r="F30" s="82">
        <v>0</v>
      </c>
      <c r="G30" s="82">
        <v>0</v>
      </c>
      <c r="H30" s="82">
        <v>0</v>
      </c>
      <c r="I30" s="82">
        <v>0</v>
      </c>
      <c r="J30" s="82">
        <v>0</v>
      </c>
      <c r="K30" s="82">
        <v>0</v>
      </c>
      <c r="L30" s="82">
        <v>0</v>
      </c>
      <c r="M30" s="82">
        <v>0</v>
      </c>
      <c r="N30" s="82">
        <v>0</v>
      </c>
    </row>
    <row r="31" spans="1:14" ht="30" x14ac:dyDescent="0.25">
      <c r="A31" s="71" t="s">
        <v>168</v>
      </c>
      <c r="B31" s="16">
        <f t="shared" si="5"/>
        <v>0</v>
      </c>
      <c r="C31" s="82">
        <v>0</v>
      </c>
      <c r="D31" s="82">
        <v>0</v>
      </c>
      <c r="E31" s="82">
        <v>0</v>
      </c>
      <c r="F31" s="82">
        <v>0</v>
      </c>
      <c r="G31" s="82">
        <v>0</v>
      </c>
      <c r="H31" s="82">
        <v>0</v>
      </c>
      <c r="I31" s="82">
        <v>0</v>
      </c>
      <c r="J31" s="82">
        <v>0</v>
      </c>
      <c r="K31" s="82">
        <v>0</v>
      </c>
      <c r="L31" s="82">
        <v>0</v>
      </c>
      <c r="M31" s="82">
        <v>0</v>
      </c>
      <c r="N31" s="82">
        <v>0</v>
      </c>
    </row>
    <row r="32" spans="1:14" ht="30" x14ac:dyDescent="0.25">
      <c r="A32" s="71" t="s">
        <v>169</v>
      </c>
      <c r="B32" s="16">
        <f t="shared" si="5"/>
        <v>4196053.72</v>
      </c>
      <c r="C32" s="82">
        <v>798689.14</v>
      </c>
      <c r="D32" s="82">
        <v>929311.94</v>
      </c>
      <c r="E32" s="82">
        <v>607025.80000000005</v>
      </c>
      <c r="F32" s="82">
        <v>855362.84</v>
      </c>
      <c r="G32" s="82">
        <v>1005664</v>
      </c>
      <c r="H32" s="82">
        <v>0</v>
      </c>
      <c r="I32" s="82">
        <v>0</v>
      </c>
      <c r="J32" s="82">
        <v>0</v>
      </c>
      <c r="K32" s="82">
        <v>0</v>
      </c>
      <c r="L32" s="82">
        <v>0</v>
      </c>
      <c r="M32" s="82">
        <v>0</v>
      </c>
      <c r="N32" s="82">
        <v>0</v>
      </c>
    </row>
    <row r="33" spans="1:14" ht="45" x14ac:dyDescent="0.25">
      <c r="A33" s="71" t="s">
        <v>170</v>
      </c>
      <c r="B33" s="16">
        <f t="shared" si="5"/>
        <v>0</v>
      </c>
      <c r="C33" s="82">
        <v>0</v>
      </c>
      <c r="D33" s="82">
        <v>0</v>
      </c>
      <c r="E33" s="82">
        <v>0</v>
      </c>
      <c r="F33" s="82">
        <v>0</v>
      </c>
      <c r="G33" s="82">
        <v>0</v>
      </c>
      <c r="H33" s="82">
        <v>0</v>
      </c>
      <c r="I33" s="82">
        <v>0</v>
      </c>
      <c r="J33" s="82">
        <v>0</v>
      </c>
      <c r="K33" s="82">
        <v>0</v>
      </c>
      <c r="L33" s="82">
        <v>0</v>
      </c>
      <c r="M33" s="82">
        <v>0</v>
      </c>
      <c r="N33" s="82">
        <v>0</v>
      </c>
    </row>
    <row r="34" spans="1:14" x14ac:dyDescent="0.25">
      <c r="A34" s="71" t="s">
        <v>171</v>
      </c>
      <c r="B34" s="16">
        <f t="shared" si="5"/>
        <v>2458308.29</v>
      </c>
      <c r="C34" s="82">
        <f>749335.46</f>
        <v>749335.46</v>
      </c>
      <c r="D34" s="82">
        <f>200344.8</f>
        <v>200344.8</v>
      </c>
      <c r="E34" s="82">
        <v>356699.6</v>
      </c>
      <c r="F34" s="82">
        <v>557926.57999999996</v>
      </c>
      <c r="G34" s="82">
        <v>594001.85</v>
      </c>
      <c r="H34" s="82">
        <v>0</v>
      </c>
      <c r="I34" s="82">
        <v>0</v>
      </c>
      <c r="J34" s="82">
        <v>0</v>
      </c>
      <c r="K34" s="82">
        <v>0</v>
      </c>
      <c r="L34" s="82">
        <v>0</v>
      </c>
      <c r="M34" s="82">
        <v>0</v>
      </c>
      <c r="N34" s="82">
        <v>0</v>
      </c>
    </row>
    <row r="35" spans="1:14" x14ac:dyDescent="0.25">
      <c r="A35" s="68" t="s">
        <v>172</v>
      </c>
      <c r="B35" s="80">
        <f>SUM(C35:N35)</f>
        <v>0</v>
      </c>
      <c r="C35" s="81">
        <f>SUM(C36:C42)</f>
        <v>0</v>
      </c>
      <c r="D35" s="81">
        <f t="shared" ref="D35:N35" si="6">SUM(D36:D42)</f>
        <v>0</v>
      </c>
      <c r="E35" s="81">
        <f t="shared" si="6"/>
        <v>0</v>
      </c>
      <c r="F35" s="81">
        <f t="shared" si="6"/>
        <v>0</v>
      </c>
      <c r="G35" s="81">
        <f t="shared" si="6"/>
        <v>0</v>
      </c>
      <c r="H35" s="81">
        <f t="shared" si="6"/>
        <v>0</v>
      </c>
      <c r="I35" s="81">
        <f t="shared" si="6"/>
        <v>0</v>
      </c>
      <c r="J35" s="81">
        <f t="shared" si="6"/>
        <v>0</v>
      </c>
      <c r="K35" s="81">
        <f t="shared" si="6"/>
        <v>0</v>
      </c>
      <c r="L35" s="81">
        <f t="shared" si="6"/>
        <v>0</v>
      </c>
      <c r="M35" s="81">
        <f t="shared" si="6"/>
        <v>0</v>
      </c>
      <c r="N35" s="81">
        <f t="shared" si="6"/>
        <v>0</v>
      </c>
    </row>
    <row r="36" spans="1:14" ht="30" x14ac:dyDescent="0.25">
      <c r="A36" s="71" t="s">
        <v>173</v>
      </c>
      <c r="B36" s="16">
        <f>SUM(C36:N36)</f>
        <v>0</v>
      </c>
      <c r="C36" s="82">
        <v>0</v>
      </c>
      <c r="D36" s="82">
        <v>0</v>
      </c>
      <c r="E36" s="82">
        <v>0</v>
      </c>
      <c r="F36" s="82">
        <v>0</v>
      </c>
      <c r="G36" s="82">
        <v>0</v>
      </c>
      <c r="H36" s="82">
        <v>0</v>
      </c>
      <c r="I36" s="82">
        <v>0</v>
      </c>
      <c r="J36" s="82">
        <v>0</v>
      </c>
      <c r="K36" s="82">
        <v>0</v>
      </c>
      <c r="L36" s="82">
        <v>0</v>
      </c>
      <c r="M36" s="82">
        <v>0</v>
      </c>
      <c r="N36" s="82">
        <v>0</v>
      </c>
    </row>
    <row r="37" spans="1:14" ht="30" x14ac:dyDescent="0.25">
      <c r="A37" s="71" t="s">
        <v>174</v>
      </c>
      <c r="B37" s="16">
        <f t="shared" ref="B37:B42" si="7">SUM(C37:N37)</f>
        <v>0</v>
      </c>
      <c r="C37" s="82">
        <v>0</v>
      </c>
      <c r="D37" s="82">
        <v>0</v>
      </c>
      <c r="E37" s="82">
        <v>0</v>
      </c>
      <c r="F37" s="82">
        <v>0</v>
      </c>
      <c r="G37" s="82">
        <v>0</v>
      </c>
      <c r="H37" s="82">
        <v>0</v>
      </c>
      <c r="I37" s="82">
        <v>0</v>
      </c>
      <c r="J37" s="82">
        <v>0</v>
      </c>
      <c r="K37" s="82">
        <v>0</v>
      </c>
      <c r="L37" s="82">
        <v>0</v>
      </c>
      <c r="M37" s="82">
        <v>0</v>
      </c>
      <c r="N37" s="82">
        <v>0</v>
      </c>
    </row>
    <row r="38" spans="1:14" ht="30" x14ac:dyDescent="0.25">
      <c r="A38" s="71" t="s">
        <v>175</v>
      </c>
      <c r="B38" s="16">
        <f t="shared" si="7"/>
        <v>0</v>
      </c>
      <c r="C38" s="82">
        <v>0</v>
      </c>
      <c r="D38" s="82">
        <v>0</v>
      </c>
      <c r="E38" s="82">
        <v>0</v>
      </c>
      <c r="F38" s="82">
        <v>0</v>
      </c>
      <c r="G38" s="82">
        <v>0</v>
      </c>
      <c r="H38" s="82">
        <v>0</v>
      </c>
      <c r="I38" s="82">
        <v>0</v>
      </c>
      <c r="J38" s="82">
        <v>0</v>
      </c>
      <c r="K38" s="82">
        <v>0</v>
      </c>
      <c r="L38" s="82">
        <v>0</v>
      </c>
      <c r="M38" s="82">
        <v>0</v>
      </c>
      <c r="N38" s="82">
        <v>0</v>
      </c>
    </row>
    <row r="39" spans="1:14" ht="30" x14ac:dyDescent="0.25">
      <c r="A39" s="71" t="s">
        <v>176</v>
      </c>
      <c r="B39" s="16">
        <f t="shared" si="7"/>
        <v>0</v>
      </c>
      <c r="C39" s="82">
        <v>0</v>
      </c>
      <c r="D39" s="82">
        <v>0</v>
      </c>
      <c r="E39" s="82">
        <v>0</v>
      </c>
      <c r="F39" s="82">
        <v>0</v>
      </c>
      <c r="G39" s="82">
        <v>0</v>
      </c>
      <c r="H39" s="82">
        <v>0</v>
      </c>
      <c r="I39" s="82">
        <v>0</v>
      </c>
      <c r="J39" s="82">
        <v>0</v>
      </c>
      <c r="K39" s="82">
        <v>0</v>
      </c>
      <c r="L39" s="82">
        <v>0</v>
      </c>
      <c r="M39" s="82">
        <v>0</v>
      </c>
      <c r="N39" s="82">
        <v>0</v>
      </c>
    </row>
    <row r="40" spans="1:14" ht="30" x14ac:dyDescent="0.25">
      <c r="A40" s="71" t="s">
        <v>177</v>
      </c>
      <c r="B40" s="16">
        <f t="shared" si="7"/>
        <v>0</v>
      </c>
      <c r="C40" s="82">
        <v>0</v>
      </c>
      <c r="D40" s="82">
        <v>0</v>
      </c>
      <c r="E40" s="82">
        <v>0</v>
      </c>
      <c r="F40" s="82">
        <v>0</v>
      </c>
      <c r="G40" s="82">
        <v>0</v>
      </c>
      <c r="H40" s="82">
        <v>0</v>
      </c>
      <c r="I40" s="82">
        <v>0</v>
      </c>
      <c r="J40" s="82">
        <v>0</v>
      </c>
      <c r="K40" s="82">
        <v>0</v>
      </c>
      <c r="L40" s="82">
        <v>0</v>
      </c>
      <c r="M40" s="82">
        <v>0</v>
      </c>
      <c r="N40" s="82">
        <v>0</v>
      </c>
    </row>
    <row r="41" spans="1:14" ht="30" x14ac:dyDescent="0.25">
      <c r="A41" s="71" t="s">
        <v>178</v>
      </c>
      <c r="B41" s="16">
        <f t="shared" si="7"/>
        <v>0</v>
      </c>
      <c r="C41" s="82">
        <v>0</v>
      </c>
      <c r="D41" s="82">
        <v>0</v>
      </c>
      <c r="E41" s="82">
        <v>0</v>
      </c>
      <c r="F41" s="82">
        <v>0</v>
      </c>
      <c r="G41" s="82">
        <v>0</v>
      </c>
      <c r="H41" s="82">
        <v>0</v>
      </c>
      <c r="I41" s="82">
        <v>0</v>
      </c>
      <c r="J41" s="82">
        <v>0</v>
      </c>
      <c r="K41" s="82">
        <v>0</v>
      </c>
      <c r="L41" s="82">
        <v>0</v>
      </c>
      <c r="M41" s="82">
        <v>0</v>
      </c>
      <c r="N41" s="82">
        <v>0</v>
      </c>
    </row>
    <row r="42" spans="1:14" ht="30" x14ac:dyDescent="0.25">
      <c r="A42" s="71" t="s">
        <v>179</v>
      </c>
      <c r="B42" s="16">
        <f t="shared" si="7"/>
        <v>0</v>
      </c>
      <c r="C42" s="82">
        <v>0</v>
      </c>
      <c r="D42" s="82">
        <v>0</v>
      </c>
      <c r="E42" s="82">
        <v>0</v>
      </c>
      <c r="F42" s="82">
        <v>0</v>
      </c>
      <c r="G42" s="82">
        <v>0</v>
      </c>
      <c r="H42" s="82">
        <v>0</v>
      </c>
      <c r="I42" s="82">
        <v>0</v>
      </c>
      <c r="J42" s="82">
        <v>0</v>
      </c>
      <c r="K42" s="82">
        <v>0</v>
      </c>
      <c r="L42" s="82">
        <v>0</v>
      </c>
      <c r="M42" s="82">
        <v>0</v>
      </c>
      <c r="N42" s="82">
        <v>0</v>
      </c>
    </row>
    <row r="43" spans="1:14" x14ac:dyDescent="0.25">
      <c r="A43" s="68" t="s">
        <v>180</v>
      </c>
      <c r="B43" s="80">
        <f>SUM(C43:N43)</f>
        <v>0</v>
      </c>
      <c r="C43" s="81">
        <f>SUM(C44:C50)</f>
        <v>0</v>
      </c>
      <c r="D43" s="81">
        <f t="shared" ref="D43:N43" si="8">SUM(D44:D50)</f>
        <v>0</v>
      </c>
      <c r="E43" s="81">
        <f t="shared" si="8"/>
        <v>0</v>
      </c>
      <c r="F43" s="81">
        <f t="shared" si="8"/>
        <v>0</v>
      </c>
      <c r="G43" s="81">
        <f t="shared" si="8"/>
        <v>0</v>
      </c>
      <c r="H43" s="81">
        <f t="shared" si="8"/>
        <v>0</v>
      </c>
      <c r="I43" s="81">
        <f t="shared" si="8"/>
        <v>0</v>
      </c>
      <c r="J43" s="81">
        <f t="shared" si="8"/>
        <v>0</v>
      </c>
      <c r="K43" s="81">
        <f t="shared" si="8"/>
        <v>0</v>
      </c>
      <c r="L43" s="81">
        <f t="shared" si="8"/>
        <v>0</v>
      </c>
      <c r="M43" s="81">
        <f t="shared" si="8"/>
        <v>0</v>
      </c>
      <c r="N43" s="81">
        <f t="shared" si="8"/>
        <v>0</v>
      </c>
    </row>
    <row r="44" spans="1:14" ht="30" x14ac:dyDescent="0.25">
      <c r="A44" s="71" t="s">
        <v>181</v>
      </c>
      <c r="B44" s="16">
        <f t="shared" ref="B44:B49" si="9">SUM(C44:N44)</f>
        <v>0</v>
      </c>
      <c r="C44" s="82">
        <v>0</v>
      </c>
      <c r="D44" s="82">
        <v>0</v>
      </c>
      <c r="E44" s="82">
        <v>0</v>
      </c>
      <c r="F44" s="82">
        <v>0</v>
      </c>
      <c r="G44" s="82">
        <v>0</v>
      </c>
      <c r="H44" s="82">
        <v>0</v>
      </c>
      <c r="I44" s="82">
        <v>0</v>
      </c>
      <c r="J44" s="82">
        <v>0</v>
      </c>
      <c r="K44" s="82">
        <v>0</v>
      </c>
      <c r="L44" s="82">
        <v>0</v>
      </c>
      <c r="M44" s="82">
        <v>0</v>
      </c>
      <c r="N44" s="82">
        <v>0</v>
      </c>
    </row>
    <row r="45" spans="1:14" ht="30" x14ac:dyDescent="0.25">
      <c r="A45" s="71" t="s">
        <v>182</v>
      </c>
      <c r="B45" s="16">
        <f t="shared" si="9"/>
        <v>0</v>
      </c>
      <c r="C45" s="82">
        <v>0</v>
      </c>
      <c r="D45" s="82">
        <v>0</v>
      </c>
      <c r="E45" s="82">
        <v>0</v>
      </c>
      <c r="F45" s="82">
        <v>0</v>
      </c>
      <c r="G45" s="82">
        <v>0</v>
      </c>
      <c r="H45" s="82">
        <v>0</v>
      </c>
      <c r="I45" s="82">
        <v>0</v>
      </c>
      <c r="J45" s="82">
        <v>0</v>
      </c>
      <c r="K45" s="82">
        <v>0</v>
      </c>
      <c r="L45" s="82">
        <v>0</v>
      </c>
      <c r="M45" s="82">
        <v>0</v>
      </c>
      <c r="N45" s="82">
        <v>0</v>
      </c>
    </row>
    <row r="46" spans="1:14" ht="30" x14ac:dyDescent="0.25">
      <c r="A46" s="71" t="s">
        <v>183</v>
      </c>
      <c r="B46" s="16">
        <f t="shared" si="9"/>
        <v>0</v>
      </c>
      <c r="C46" s="82">
        <v>0</v>
      </c>
      <c r="D46" s="82">
        <v>0</v>
      </c>
      <c r="E46" s="82">
        <v>0</v>
      </c>
      <c r="F46" s="82">
        <v>0</v>
      </c>
      <c r="G46" s="82">
        <v>0</v>
      </c>
      <c r="H46" s="82">
        <v>0</v>
      </c>
      <c r="I46" s="82">
        <v>0</v>
      </c>
      <c r="J46" s="82">
        <v>0</v>
      </c>
      <c r="K46" s="82">
        <v>0</v>
      </c>
      <c r="L46" s="82">
        <v>0</v>
      </c>
      <c r="M46" s="82">
        <v>0</v>
      </c>
      <c r="N46" s="82">
        <v>0</v>
      </c>
    </row>
    <row r="47" spans="1:14" ht="30" x14ac:dyDescent="0.25">
      <c r="A47" s="71" t="s">
        <v>184</v>
      </c>
      <c r="B47" s="16">
        <f t="shared" si="9"/>
        <v>0</v>
      </c>
      <c r="C47" s="82">
        <v>0</v>
      </c>
      <c r="D47" s="82">
        <v>0</v>
      </c>
      <c r="E47" s="82">
        <v>0</v>
      </c>
      <c r="F47" s="82">
        <v>0</v>
      </c>
      <c r="G47" s="82">
        <v>0</v>
      </c>
      <c r="H47" s="82">
        <v>0</v>
      </c>
      <c r="I47" s="82">
        <v>0</v>
      </c>
      <c r="J47" s="82">
        <v>0</v>
      </c>
      <c r="K47" s="82">
        <v>0</v>
      </c>
      <c r="L47" s="82">
        <v>0</v>
      </c>
      <c r="M47" s="82">
        <v>0</v>
      </c>
      <c r="N47" s="82">
        <v>0</v>
      </c>
    </row>
    <row r="48" spans="1:14" ht="30" x14ac:dyDescent="0.25">
      <c r="A48" s="71" t="s">
        <v>185</v>
      </c>
      <c r="B48" s="16">
        <f t="shared" si="9"/>
        <v>0</v>
      </c>
      <c r="C48" s="82">
        <v>0</v>
      </c>
      <c r="D48" s="82">
        <v>0</v>
      </c>
      <c r="E48" s="82">
        <v>0</v>
      </c>
      <c r="F48" s="82">
        <v>0</v>
      </c>
      <c r="G48" s="82">
        <v>0</v>
      </c>
      <c r="H48" s="82">
        <v>0</v>
      </c>
      <c r="I48" s="82">
        <v>0</v>
      </c>
      <c r="J48" s="82">
        <v>0</v>
      </c>
      <c r="K48" s="82">
        <v>0</v>
      </c>
      <c r="L48" s="82">
        <v>0</v>
      </c>
      <c r="M48" s="82">
        <v>0</v>
      </c>
      <c r="N48" s="82">
        <v>0</v>
      </c>
    </row>
    <row r="49" spans="1:14" ht="30" x14ac:dyDescent="0.25">
      <c r="A49" s="71" t="s">
        <v>186</v>
      </c>
      <c r="B49" s="16">
        <f t="shared" si="9"/>
        <v>0</v>
      </c>
      <c r="C49" s="82">
        <v>0</v>
      </c>
      <c r="D49" s="82">
        <v>0</v>
      </c>
      <c r="E49" s="82">
        <v>0</v>
      </c>
      <c r="F49" s="82">
        <v>0</v>
      </c>
      <c r="G49" s="82">
        <v>0</v>
      </c>
      <c r="H49" s="82">
        <v>0</v>
      </c>
      <c r="I49" s="82">
        <v>0</v>
      </c>
      <c r="J49" s="82">
        <v>0</v>
      </c>
      <c r="K49" s="82">
        <v>0</v>
      </c>
      <c r="L49" s="82">
        <v>0</v>
      </c>
      <c r="M49" s="82">
        <v>0</v>
      </c>
      <c r="N49" s="82">
        <v>0</v>
      </c>
    </row>
    <row r="50" spans="1:14" ht="30" x14ac:dyDescent="0.25">
      <c r="A50" s="71" t="s">
        <v>187</v>
      </c>
      <c r="B50" s="16">
        <f>SUM(C50:N50)</f>
        <v>0</v>
      </c>
      <c r="C50" s="82">
        <v>0</v>
      </c>
      <c r="D50" s="82">
        <v>0</v>
      </c>
      <c r="E50" s="82">
        <v>0</v>
      </c>
      <c r="F50" s="82">
        <v>0</v>
      </c>
      <c r="G50" s="82">
        <v>0</v>
      </c>
      <c r="H50" s="82">
        <v>0</v>
      </c>
      <c r="I50" s="82">
        <v>0</v>
      </c>
      <c r="J50" s="82">
        <v>0</v>
      </c>
      <c r="K50" s="82">
        <v>0</v>
      </c>
      <c r="L50" s="82">
        <v>0</v>
      </c>
      <c r="M50" s="82">
        <v>0</v>
      </c>
      <c r="N50" s="82">
        <v>0</v>
      </c>
    </row>
    <row r="51" spans="1:14" ht="30" x14ac:dyDescent="0.25">
      <c r="A51" s="68" t="s">
        <v>188</v>
      </c>
      <c r="B51" s="80">
        <f>SUM(C51:N51)</f>
        <v>0</v>
      </c>
      <c r="C51" s="81">
        <f>SUM(C52:C60)</f>
        <v>0</v>
      </c>
      <c r="D51" s="81">
        <f t="shared" ref="D51:N51" si="10">SUM(D52:D60)</f>
        <v>0</v>
      </c>
      <c r="E51" s="81">
        <f t="shared" si="10"/>
        <v>0</v>
      </c>
      <c r="F51" s="81">
        <f t="shared" si="10"/>
        <v>0</v>
      </c>
      <c r="G51" s="81">
        <f t="shared" si="10"/>
        <v>0</v>
      </c>
      <c r="H51" s="81">
        <f t="shared" si="10"/>
        <v>0</v>
      </c>
      <c r="I51" s="81">
        <f t="shared" si="10"/>
        <v>0</v>
      </c>
      <c r="J51" s="81">
        <f t="shared" si="10"/>
        <v>0</v>
      </c>
      <c r="K51" s="81">
        <f t="shared" si="10"/>
        <v>0</v>
      </c>
      <c r="L51" s="81">
        <f t="shared" si="10"/>
        <v>0</v>
      </c>
      <c r="M51" s="81">
        <f t="shared" si="10"/>
        <v>0</v>
      </c>
      <c r="N51" s="81">
        <f t="shared" si="10"/>
        <v>0</v>
      </c>
    </row>
    <row r="52" spans="1:14" x14ac:dyDescent="0.25">
      <c r="A52" s="71" t="s">
        <v>189</v>
      </c>
      <c r="B52" s="16">
        <f t="shared" ref="B52:B60" si="11">SUM(C52:N52)</f>
        <v>0</v>
      </c>
      <c r="C52" s="82"/>
      <c r="D52" s="82">
        <v>0</v>
      </c>
      <c r="E52" s="82">
        <v>0</v>
      </c>
      <c r="F52" s="82">
        <v>0</v>
      </c>
      <c r="G52" s="82">
        <v>0</v>
      </c>
      <c r="H52" s="82">
        <v>0</v>
      </c>
      <c r="I52" s="82">
        <v>0</v>
      </c>
      <c r="J52" s="82"/>
      <c r="K52" s="82">
        <v>0</v>
      </c>
      <c r="L52" s="82">
        <v>0</v>
      </c>
      <c r="M52" s="82">
        <v>0</v>
      </c>
      <c r="N52" s="82">
        <v>0</v>
      </c>
    </row>
    <row r="53" spans="1:14" ht="30" x14ac:dyDescent="0.25">
      <c r="A53" s="71" t="s">
        <v>190</v>
      </c>
      <c r="B53" s="16">
        <f t="shared" si="11"/>
        <v>0</v>
      </c>
      <c r="C53" s="82">
        <v>0</v>
      </c>
      <c r="D53" s="82">
        <v>0</v>
      </c>
      <c r="E53" s="82">
        <v>0</v>
      </c>
      <c r="F53" s="82">
        <v>0</v>
      </c>
      <c r="G53" s="82">
        <v>0</v>
      </c>
      <c r="H53" s="82">
        <v>0</v>
      </c>
      <c r="I53" s="82">
        <v>0</v>
      </c>
      <c r="J53" s="82">
        <v>0</v>
      </c>
      <c r="K53" s="82">
        <v>0</v>
      </c>
      <c r="L53" s="82">
        <v>0</v>
      </c>
      <c r="M53" s="82">
        <v>0</v>
      </c>
      <c r="N53" s="82">
        <v>0</v>
      </c>
    </row>
    <row r="54" spans="1:14" ht="30" x14ac:dyDescent="0.25">
      <c r="A54" s="71" t="s">
        <v>191</v>
      </c>
      <c r="B54" s="16">
        <f t="shared" si="11"/>
        <v>0</v>
      </c>
      <c r="C54" s="82">
        <v>0</v>
      </c>
      <c r="D54" s="82">
        <v>0</v>
      </c>
      <c r="E54" s="82">
        <v>0</v>
      </c>
      <c r="F54" s="82">
        <v>0</v>
      </c>
      <c r="G54" s="82">
        <v>0</v>
      </c>
      <c r="H54" s="82">
        <v>0</v>
      </c>
      <c r="I54" s="82">
        <v>0</v>
      </c>
      <c r="J54" s="82">
        <v>0</v>
      </c>
      <c r="K54" s="82">
        <v>0</v>
      </c>
      <c r="L54" s="82">
        <v>0</v>
      </c>
      <c r="M54" s="82">
        <v>0</v>
      </c>
      <c r="N54" s="82">
        <v>0</v>
      </c>
    </row>
    <row r="55" spans="1:14" ht="30" x14ac:dyDescent="0.25">
      <c r="A55" s="71" t="s">
        <v>192</v>
      </c>
      <c r="B55" s="16">
        <f t="shared" si="11"/>
        <v>0</v>
      </c>
      <c r="C55" s="82">
        <v>0</v>
      </c>
      <c r="D55" s="82">
        <v>0</v>
      </c>
      <c r="E55" s="82">
        <v>0</v>
      </c>
      <c r="F55" s="82">
        <v>0</v>
      </c>
      <c r="G55" s="82">
        <v>0</v>
      </c>
      <c r="H55" s="82">
        <v>0</v>
      </c>
      <c r="I55" s="82">
        <v>0</v>
      </c>
      <c r="J55" s="82">
        <v>0</v>
      </c>
      <c r="K55" s="82">
        <v>0</v>
      </c>
      <c r="L55" s="82">
        <v>0</v>
      </c>
      <c r="M55" s="82">
        <v>0</v>
      </c>
      <c r="N55" s="82">
        <v>0</v>
      </c>
    </row>
    <row r="56" spans="1:14" ht="30" x14ac:dyDescent="0.25">
      <c r="A56" s="71" t="s">
        <v>193</v>
      </c>
      <c r="B56" s="16">
        <f t="shared" si="11"/>
        <v>0</v>
      </c>
      <c r="C56" s="82">
        <v>0</v>
      </c>
      <c r="D56" s="82">
        <v>0</v>
      </c>
      <c r="E56" s="82">
        <v>0</v>
      </c>
      <c r="F56" s="82">
        <v>0</v>
      </c>
      <c r="G56" s="82">
        <v>0</v>
      </c>
      <c r="H56" s="82">
        <v>0</v>
      </c>
      <c r="I56" s="82">
        <v>0</v>
      </c>
      <c r="J56" s="82">
        <v>0</v>
      </c>
      <c r="K56" s="82">
        <v>0</v>
      </c>
      <c r="L56" s="82">
        <v>0</v>
      </c>
      <c r="M56" s="82">
        <v>0</v>
      </c>
      <c r="N56" s="82">
        <v>0</v>
      </c>
    </row>
    <row r="57" spans="1:14" ht="30" x14ac:dyDescent="0.25">
      <c r="A57" s="71" t="s">
        <v>194</v>
      </c>
      <c r="B57" s="16">
        <f t="shared" si="11"/>
        <v>0</v>
      </c>
      <c r="C57" s="82">
        <v>0</v>
      </c>
      <c r="D57" s="82">
        <v>0</v>
      </c>
      <c r="E57" s="82">
        <v>0</v>
      </c>
      <c r="F57" s="82">
        <v>0</v>
      </c>
      <c r="G57" s="82">
        <v>0</v>
      </c>
      <c r="H57" s="82">
        <v>0</v>
      </c>
      <c r="I57" s="82">
        <v>0</v>
      </c>
      <c r="J57" s="82">
        <v>0</v>
      </c>
      <c r="K57" s="82">
        <v>0</v>
      </c>
      <c r="L57" s="82">
        <v>0</v>
      </c>
      <c r="M57" s="82">
        <v>0</v>
      </c>
      <c r="N57" s="82">
        <v>0</v>
      </c>
    </row>
    <row r="58" spans="1:14" ht="30" x14ac:dyDescent="0.25">
      <c r="A58" s="71" t="s">
        <v>195</v>
      </c>
      <c r="B58" s="16">
        <f t="shared" si="11"/>
        <v>0</v>
      </c>
      <c r="C58" s="82">
        <v>0</v>
      </c>
      <c r="D58" s="82">
        <v>0</v>
      </c>
      <c r="E58" s="82">
        <v>0</v>
      </c>
      <c r="F58" s="82">
        <v>0</v>
      </c>
      <c r="G58" s="82">
        <v>0</v>
      </c>
      <c r="H58" s="82">
        <v>0</v>
      </c>
      <c r="I58" s="82">
        <v>0</v>
      </c>
      <c r="J58" s="82">
        <v>0</v>
      </c>
      <c r="K58" s="82">
        <v>0</v>
      </c>
      <c r="L58" s="82">
        <v>0</v>
      </c>
      <c r="M58" s="82">
        <v>0</v>
      </c>
      <c r="N58" s="82">
        <v>0</v>
      </c>
    </row>
    <row r="59" spans="1:14" x14ac:dyDescent="0.25">
      <c r="A59" s="71" t="s">
        <v>196</v>
      </c>
      <c r="B59" s="16">
        <f t="shared" si="11"/>
        <v>0</v>
      </c>
      <c r="C59" s="82">
        <v>0</v>
      </c>
      <c r="D59" s="82">
        <v>0</v>
      </c>
      <c r="E59" s="82">
        <v>0</v>
      </c>
      <c r="F59" s="82">
        <v>0</v>
      </c>
      <c r="G59" s="82">
        <v>0</v>
      </c>
      <c r="H59" s="82">
        <v>0</v>
      </c>
      <c r="I59" s="82">
        <v>0</v>
      </c>
      <c r="J59" s="82">
        <v>0</v>
      </c>
      <c r="K59" s="82">
        <v>0</v>
      </c>
      <c r="L59" s="82">
        <v>0</v>
      </c>
      <c r="M59" s="82">
        <v>0</v>
      </c>
      <c r="N59" s="82">
        <v>0</v>
      </c>
    </row>
    <row r="60" spans="1:14" ht="45" x14ac:dyDescent="0.25">
      <c r="A60" s="71" t="s">
        <v>197</v>
      </c>
      <c r="B60" s="16">
        <f t="shared" si="11"/>
        <v>0</v>
      </c>
      <c r="C60" s="82">
        <v>0</v>
      </c>
      <c r="D60" s="82">
        <v>0</v>
      </c>
      <c r="E60" s="82">
        <v>0</v>
      </c>
      <c r="F60" s="82">
        <v>0</v>
      </c>
      <c r="G60" s="82">
        <v>0</v>
      </c>
      <c r="H60" s="82">
        <v>0</v>
      </c>
      <c r="I60" s="82">
        <v>0</v>
      </c>
      <c r="J60" s="82">
        <v>0</v>
      </c>
      <c r="K60" s="82">
        <v>0</v>
      </c>
      <c r="L60" s="82">
        <v>0</v>
      </c>
      <c r="M60" s="82">
        <v>0</v>
      </c>
      <c r="N60" s="82">
        <v>0</v>
      </c>
    </row>
    <row r="61" spans="1:14" x14ac:dyDescent="0.25">
      <c r="A61" s="68" t="s">
        <v>198</v>
      </c>
      <c r="B61" s="80">
        <f t="shared" ref="B61:B83" si="12">SUM(C61:N61)</f>
        <v>0</v>
      </c>
      <c r="C61" s="81">
        <f>SUM(C62:C65)</f>
        <v>0</v>
      </c>
      <c r="D61" s="81">
        <f t="shared" ref="D61:N61" si="13">SUM(D62:D65)</f>
        <v>0</v>
      </c>
      <c r="E61" s="81">
        <f t="shared" si="13"/>
        <v>0</v>
      </c>
      <c r="F61" s="81">
        <f t="shared" si="13"/>
        <v>0</v>
      </c>
      <c r="G61" s="81">
        <f t="shared" si="13"/>
        <v>0</v>
      </c>
      <c r="H61" s="81">
        <f t="shared" si="13"/>
        <v>0</v>
      </c>
      <c r="I61" s="81">
        <f t="shared" si="13"/>
        <v>0</v>
      </c>
      <c r="J61" s="81">
        <f t="shared" si="13"/>
        <v>0</v>
      </c>
      <c r="K61" s="81">
        <f t="shared" si="13"/>
        <v>0</v>
      </c>
      <c r="L61" s="81">
        <f t="shared" si="13"/>
        <v>0</v>
      </c>
      <c r="M61" s="81">
        <f t="shared" si="13"/>
        <v>0</v>
      </c>
      <c r="N61" s="81">
        <f t="shared" si="13"/>
        <v>0</v>
      </c>
    </row>
    <row r="62" spans="1:14" x14ac:dyDescent="0.25">
      <c r="A62" s="71" t="s">
        <v>199</v>
      </c>
      <c r="B62" s="16">
        <f t="shared" si="12"/>
        <v>0</v>
      </c>
      <c r="C62" s="82">
        <v>0</v>
      </c>
      <c r="D62" s="82">
        <v>0</v>
      </c>
      <c r="E62" s="82">
        <v>0</v>
      </c>
      <c r="F62" s="82">
        <v>0</v>
      </c>
      <c r="G62" s="82">
        <v>0</v>
      </c>
      <c r="H62" s="82">
        <v>0</v>
      </c>
      <c r="I62" s="82">
        <v>0</v>
      </c>
      <c r="J62" s="82">
        <v>0</v>
      </c>
      <c r="K62" s="82">
        <v>0</v>
      </c>
      <c r="L62" s="82">
        <v>0</v>
      </c>
      <c r="M62" s="82">
        <v>0</v>
      </c>
      <c r="N62" s="82">
        <v>0</v>
      </c>
    </row>
    <row r="63" spans="1:14" x14ac:dyDescent="0.25">
      <c r="A63" s="71" t="s">
        <v>200</v>
      </c>
      <c r="B63" s="16">
        <f t="shared" si="12"/>
        <v>0</v>
      </c>
      <c r="C63" s="82">
        <v>0</v>
      </c>
      <c r="D63" s="82">
        <v>0</v>
      </c>
      <c r="E63" s="82">
        <v>0</v>
      </c>
      <c r="F63" s="82">
        <v>0</v>
      </c>
      <c r="G63" s="82">
        <v>0</v>
      </c>
      <c r="H63" s="82">
        <v>0</v>
      </c>
      <c r="I63" s="82">
        <v>0</v>
      </c>
      <c r="J63" s="82">
        <v>0</v>
      </c>
      <c r="K63" s="82">
        <v>0</v>
      </c>
      <c r="L63" s="82">
        <v>0</v>
      </c>
      <c r="M63" s="82">
        <v>0</v>
      </c>
      <c r="N63" s="82">
        <v>0</v>
      </c>
    </row>
    <row r="64" spans="1:14" ht="30" x14ac:dyDescent="0.25">
      <c r="A64" s="71" t="s">
        <v>201</v>
      </c>
      <c r="B64" s="16">
        <f t="shared" si="12"/>
        <v>0</v>
      </c>
      <c r="C64" s="82">
        <v>0</v>
      </c>
      <c r="D64" s="82">
        <v>0</v>
      </c>
      <c r="E64" s="82">
        <v>0</v>
      </c>
      <c r="F64" s="82">
        <v>0</v>
      </c>
      <c r="G64" s="82">
        <v>0</v>
      </c>
      <c r="H64" s="82">
        <v>0</v>
      </c>
      <c r="I64" s="82">
        <v>0</v>
      </c>
      <c r="J64" s="82">
        <v>0</v>
      </c>
      <c r="K64" s="82">
        <v>0</v>
      </c>
      <c r="L64" s="82">
        <v>0</v>
      </c>
      <c r="M64" s="82">
        <v>0</v>
      </c>
      <c r="N64" s="82">
        <v>0</v>
      </c>
    </row>
    <row r="65" spans="1:14" ht="45" x14ac:dyDescent="0.25">
      <c r="A65" s="71" t="s">
        <v>202</v>
      </c>
      <c r="B65" s="16">
        <f t="shared" si="12"/>
        <v>0</v>
      </c>
      <c r="C65" s="82">
        <v>0</v>
      </c>
      <c r="D65" s="82">
        <v>0</v>
      </c>
      <c r="E65" s="82">
        <v>0</v>
      </c>
      <c r="F65" s="82">
        <v>0</v>
      </c>
      <c r="G65" s="82">
        <v>0</v>
      </c>
      <c r="H65" s="82">
        <v>0</v>
      </c>
      <c r="I65" s="82">
        <v>0</v>
      </c>
      <c r="J65" s="82">
        <v>0</v>
      </c>
      <c r="K65" s="82">
        <v>0</v>
      </c>
      <c r="L65" s="82">
        <v>0</v>
      </c>
      <c r="M65" s="82">
        <v>0</v>
      </c>
      <c r="N65" s="82">
        <v>0</v>
      </c>
    </row>
    <row r="66" spans="1:14" ht="30" x14ac:dyDescent="0.25">
      <c r="A66" s="68" t="s">
        <v>203</v>
      </c>
      <c r="B66" s="80">
        <f t="shared" si="12"/>
        <v>0</v>
      </c>
      <c r="C66" s="81">
        <f>SUM(C67:C68)</f>
        <v>0</v>
      </c>
      <c r="D66" s="81">
        <f t="shared" ref="D66:N66" si="14">SUM(D67:D68)</f>
        <v>0</v>
      </c>
      <c r="E66" s="81">
        <f t="shared" si="14"/>
        <v>0</v>
      </c>
      <c r="F66" s="81">
        <f t="shared" si="14"/>
        <v>0</v>
      </c>
      <c r="G66" s="81">
        <f t="shared" si="14"/>
        <v>0</v>
      </c>
      <c r="H66" s="81">
        <f t="shared" si="14"/>
        <v>0</v>
      </c>
      <c r="I66" s="81">
        <f t="shared" si="14"/>
        <v>0</v>
      </c>
      <c r="J66" s="81">
        <f t="shared" si="14"/>
        <v>0</v>
      </c>
      <c r="K66" s="81">
        <f t="shared" si="14"/>
        <v>0</v>
      </c>
      <c r="L66" s="81">
        <f t="shared" si="14"/>
        <v>0</v>
      </c>
      <c r="M66" s="81">
        <f t="shared" si="14"/>
        <v>0</v>
      </c>
      <c r="N66" s="81">
        <f t="shared" si="14"/>
        <v>0</v>
      </c>
    </row>
    <row r="67" spans="1:14" x14ac:dyDescent="0.25">
      <c r="A67" s="71" t="s">
        <v>204</v>
      </c>
      <c r="B67" s="16">
        <f t="shared" si="12"/>
        <v>0</v>
      </c>
      <c r="C67" s="82">
        <v>0</v>
      </c>
      <c r="D67" s="82">
        <v>0</v>
      </c>
      <c r="E67" s="82">
        <v>0</v>
      </c>
      <c r="F67" s="82">
        <v>0</v>
      </c>
      <c r="G67" s="82">
        <v>0</v>
      </c>
      <c r="H67" s="82">
        <v>0</v>
      </c>
      <c r="I67" s="82">
        <v>0</v>
      </c>
      <c r="J67" s="82">
        <v>0</v>
      </c>
      <c r="K67" s="82">
        <v>0</v>
      </c>
      <c r="L67" s="82">
        <v>0</v>
      </c>
      <c r="M67" s="82">
        <v>0</v>
      </c>
      <c r="N67" s="82">
        <v>0</v>
      </c>
    </row>
    <row r="68" spans="1:14" ht="30" x14ac:dyDescent="0.25">
      <c r="A68" s="71" t="s">
        <v>205</v>
      </c>
      <c r="B68" s="16">
        <f t="shared" si="12"/>
        <v>0</v>
      </c>
      <c r="C68" s="82">
        <v>0</v>
      </c>
      <c r="D68" s="82">
        <v>0</v>
      </c>
      <c r="E68" s="82">
        <v>0</v>
      </c>
      <c r="F68" s="82">
        <v>0</v>
      </c>
      <c r="G68" s="82">
        <v>0</v>
      </c>
      <c r="H68" s="82">
        <v>0</v>
      </c>
      <c r="I68" s="82">
        <v>0</v>
      </c>
      <c r="J68" s="82">
        <v>0</v>
      </c>
      <c r="K68" s="82">
        <v>0</v>
      </c>
      <c r="L68" s="82">
        <v>0</v>
      </c>
      <c r="M68" s="82">
        <v>0</v>
      </c>
      <c r="N68" s="82">
        <v>0</v>
      </c>
    </row>
    <row r="69" spans="1:14" x14ac:dyDescent="0.25">
      <c r="A69" s="68" t="s">
        <v>206</v>
      </c>
      <c r="B69" s="80">
        <f t="shared" si="12"/>
        <v>19531.97</v>
      </c>
      <c r="C69" s="81">
        <f>SUM(C70:C72)</f>
        <v>3869.04</v>
      </c>
      <c r="D69" s="81">
        <f t="shared" ref="D69:N69" si="15">SUM(D70:D72)</f>
        <v>3870.12</v>
      </c>
      <c r="E69" s="81">
        <f t="shared" si="15"/>
        <v>4009.24</v>
      </c>
      <c r="F69" s="81">
        <f t="shared" si="15"/>
        <v>3901.99</v>
      </c>
      <c r="G69" s="81">
        <f t="shared" si="15"/>
        <v>3881.58</v>
      </c>
      <c r="H69" s="81">
        <f t="shared" si="15"/>
        <v>0</v>
      </c>
      <c r="I69" s="81">
        <f t="shared" si="15"/>
        <v>0</v>
      </c>
      <c r="J69" s="81">
        <f t="shared" si="15"/>
        <v>0</v>
      </c>
      <c r="K69" s="81">
        <f t="shared" si="15"/>
        <v>0</v>
      </c>
      <c r="L69" s="81">
        <f t="shared" si="15"/>
        <v>0</v>
      </c>
      <c r="M69" s="81">
        <f t="shared" si="15"/>
        <v>0</v>
      </c>
      <c r="N69" s="81">
        <f t="shared" si="15"/>
        <v>0</v>
      </c>
    </row>
    <row r="70" spans="1:14" ht="30" x14ac:dyDescent="0.25">
      <c r="A70" s="71" t="s">
        <v>207</v>
      </c>
      <c r="B70" s="16">
        <f t="shared" si="12"/>
        <v>0</v>
      </c>
      <c r="C70" s="82">
        <v>0</v>
      </c>
      <c r="D70" s="82">
        <v>0</v>
      </c>
      <c r="E70" s="82">
        <v>0</v>
      </c>
      <c r="F70" s="82">
        <v>0</v>
      </c>
      <c r="G70" s="82">
        <v>0</v>
      </c>
      <c r="H70" s="82">
        <v>0</v>
      </c>
      <c r="I70" s="82">
        <v>0</v>
      </c>
      <c r="J70" s="82">
        <v>0</v>
      </c>
      <c r="K70" s="82">
        <v>0</v>
      </c>
      <c r="L70" s="82">
        <v>0</v>
      </c>
      <c r="M70" s="82">
        <v>0</v>
      </c>
      <c r="N70" s="82">
        <v>0</v>
      </c>
    </row>
    <row r="71" spans="1:14" ht="30" x14ac:dyDescent="0.25">
      <c r="A71" s="71" t="s">
        <v>208</v>
      </c>
      <c r="B71" s="16">
        <f t="shared" si="12"/>
        <v>0</v>
      </c>
      <c r="C71" s="82">
        <v>0</v>
      </c>
      <c r="D71" s="82">
        <v>0</v>
      </c>
      <c r="E71" s="82">
        <v>0</v>
      </c>
      <c r="F71" s="82">
        <v>0</v>
      </c>
      <c r="G71" s="82">
        <v>0</v>
      </c>
      <c r="H71" s="82">
        <v>0</v>
      </c>
      <c r="I71" s="82">
        <v>0</v>
      </c>
      <c r="J71" s="82">
        <v>0</v>
      </c>
      <c r="K71" s="82">
        <v>0</v>
      </c>
      <c r="L71" s="82">
        <v>0</v>
      </c>
      <c r="M71" s="82">
        <v>0</v>
      </c>
      <c r="N71" s="82">
        <v>0</v>
      </c>
    </row>
    <row r="72" spans="1:14" ht="30" x14ac:dyDescent="0.25">
      <c r="A72" s="71" t="s">
        <v>209</v>
      </c>
      <c r="B72" s="16">
        <f t="shared" si="12"/>
        <v>19531.97</v>
      </c>
      <c r="C72" s="82">
        <f>3869.04</f>
        <v>3869.04</v>
      </c>
      <c r="D72" s="82">
        <v>3870.12</v>
      </c>
      <c r="E72" s="82">
        <v>4009.24</v>
      </c>
      <c r="F72" s="82">
        <v>3901.99</v>
      </c>
      <c r="G72" s="82">
        <v>3881.58</v>
      </c>
      <c r="H72" s="82">
        <v>0</v>
      </c>
      <c r="I72" s="82">
        <v>0</v>
      </c>
      <c r="J72" s="82">
        <v>0</v>
      </c>
      <c r="K72" s="82">
        <v>0</v>
      </c>
      <c r="L72" s="82">
        <v>0</v>
      </c>
      <c r="M72" s="82">
        <v>0</v>
      </c>
      <c r="N72" s="82">
        <v>0</v>
      </c>
    </row>
    <row r="73" spans="1:14" x14ac:dyDescent="0.25">
      <c r="A73" s="83" t="s">
        <v>210</v>
      </c>
      <c r="B73" s="16">
        <f t="shared" si="12"/>
        <v>12499873.649999999</v>
      </c>
      <c r="C73" s="84">
        <f t="shared" ref="C73:N73" si="16">C9+C15+C25+C35+C43+C51+C61+C66+C69</f>
        <v>2499949.92</v>
      </c>
      <c r="D73" s="84">
        <f t="shared" si="16"/>
        <v>2499950.9999999995</v>
      </c>
      <c r="E73" s="84">
        <f t="shared" si="16"/>
        <v>2500041.19</v>
      </c>
      <c r="F73" s="84">
        <f t="shared" si="16"/>
        <v>2499969.0800000005</v>
      </c>
      <c r="G73" s="84">
        <f t="shared" si="16"/>
        <v>2499962.46</v>
      </c>
      <c r="H73" s="84">
        <f t="shared" si="16"/>
        <v>0</v>
      </c>
      <c r="I73" s="84">
        <f t="shared" si="16"/>
        <v>0</v>
      </c>
      <c r="J73" s="84">
        <f t="shared" si="16"/>
        <v>0</v>
      </c>
      <c r="K73" s="84">
        <f t="shared" si="16"/>
        <v>0</v>
      </c>
      <c r="L73" s="84">
        <f t="shared" si="16"/>
        <v>0</v>
      </c>
      <c r="M73" s="84">
        <f t="shared" si="16"/>
        <v>0</v>
      </c>
      <c r="N73" s="84">
        <f t="shared" si="16"/>
        <v>0</v>
      </c>
    </row>
    <row r="74" spans="1:14" x14ac:dyDescent="0.25">
      <c r="A74" s="66" t="s">
        <v>211</v>
      </c>
      <c r="B74" s="16">
        <f t="shared" si="12"/>
        <v>0</v>
      </c>
      <c r="C74" s="85">
        <v>0</v>
      </c>
      <c r="D74" s="85">
        <v>0</v>
      </c>
      <c r="E74" s="85">
        <v>0</v>
      </c>
      <c r="F74" s="85">
        <v>0</v>
      </c>
      <c r="G74" s="85">
        <v>0</v>
      </c>
      <c r="H74" s="85">
        <v>0</v>
      </c>
      <c r="I74" s="85">
        <v>0</v>
      </c>
      <c r="J74" s="85">
        <v>0</v>
      </c>
      <c r="K74" s="85">
        <v>0</v>
      </c>
      <c r="L74" s="85">
        <v>0</v>
      </c>
      <c r="M74" s="85">
        <v>0</v>
      </c>
      <c r="N74" s="85">
        <v>0</v>
      </c>
    </row>
    <row r="75" spans="1:14" ht="30" x14ac:dyDescent="0.25">
      <c r="A75" s="66" t="s">
        <v>212</v>
      </c>
      <c r="B75" s="16">
        <f t="shared" si="12"/>
        <v>0</v>
      </c>
      <c r="C75" s="85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85">
        <v>0</v>
      </c>
      <c r="N75" s="14">
        <v>0</v>
      </c>
    </row>
    <row r="76" spans="1:14" ht="30" x14ac:dyDescent="0.25">
      <c r="A76" s="71" t="s">
        <v>213</v>
      </c>
      <c r="B76" s="16">
        <f t="shared" si="12"/>
        <v>0</v>
      </c>
      <c r="C76" s="82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85">
        <v>0</v>
      </c>
      <c r="N76" s="14">
        <v>0</v>
      </c>
    </row>
    <row r="77" spans="1:14" ht="30" x14ac:dyDescent="0.25">
      <c r="A77" s="71" t="s">
        <v>214</v>
      </c>
      <c r="B77" s="16">
        <f t="shared" si="12"/>
        <v>0</v>
      </c>
      <c r="C77" s="82">
        <v>0</v>
      </c>
      <c r="D77" s="14">
        <v>0</v>
      </c>
      <c r="E77" s="14">
        <v>0</v>
      </c>
      <c r="F77" s="14">
        <v>0</v>
      </c>
      <c r="G77" s="14">
        <v>0</v>
      </c>
      <c r="H77" s="14">
        <v>0</v>
      </c>
      <c r="I77" s="14">
        <v>0</v>
      </c>
      <c r="J77" s="14">
        <v>0</v>
      </c>
      <c r="K77" s="14">
        <v>0</v>
      </c>
      <c r="L77" s="14">
        <v>0</v>
      </c>
      <c r="M77" s="85">
        <v>0</v>
      </c>
      <c r="N77" s="14">
        <v>0</v>
      </c>
    </row>
    <row r="78" spans="1:14" x14ac:dyDescent="0.25">
      <c r="A78" s="66" t="s">
        <v>215</v>
      </c>
      <c r="B78" s="16">
        <f t="shared" si="12"/>
        <v>0</v>
      </c>
      <c r="C78" s="85">
        <v>0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14">
        <v>0</v>
      </c>
      <c r="J78" s="14">
        <v>0</v>
      </c>
      <c r="K78" s="14">
        <v>0</v>
      </c>
      <c r="L78" s="14">
        <v>0</v>
      </c>
      <c r="M78" s="85">
        <v>0</v>
      </c>
      <c r="N78" s="14">
        <v>0</v>
      </c>
    </row>
    <row r="79" spans="1:14" ht="30" x14ac:dyDescent="0.25">
      <c r="A79" s="71" t="s">
        <v>216</v>
      </c>
      <c r="B79" s="16">
        <f t="shared" si="12"/>
        <v>0</v>
      </c>
      <c r="C79" s="82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85">
        <v>0</v>
      </c>
      <c r="N79" s="14">
        <v>0</v>
      </c>
    </row>
    <row r="80" spans="1:14" ht="30" x14ac:dyDescent="0.25">
      <c r="A80" s="71" t="s">
        <v>217</v>
      </c>
      <c r="B80" s="16">
        <f t="shared" si="12"/>
        <v>0</v>
      </c>
      <c r="C80" s="82">
        <v>0</v>
      </c>
      <c r="D80" s="14">
        <v>0</v>
      </c>
      <c r="E80" s="14">
        <v>0</v>
      </c>
      <c r="F80" s="14">
        <v>0</v>
      </c>
      <c r="G80" s="14">
        <v>0</v>
      </c>
      <c r="H80" s="14">
        <v>0</v>
      </c>
      <c r="I80" s="14">
        <v>0</v>
      </c>
      <c r="J80" s="14">
        <v>0</v>
      </c>
      <c r="K80" s="14">
        <v>0</v>
      </c>
      <c r="L80" s="14">
        <v>0</v>
      </c>
      <c r="M80" s="85">
        <v>0</v>
      </c>
      <c r="N80" s="14">
        <v>0</v>
      </c>
    </row>
    <row r="81" spans="1:14" ht="30" x14ac:dyDescent="0.25">
      <c r="A81" s="66" t="s">
        <v>218</v>
      </c>
      <c r="B81" s="16">
        <f t="shared" si="12"/>
        <v>0</v>
      </c>
      <c r="C81" s="85">
        <v>0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14">
        <v>0</v>
      </c>
      <c r="J81" s="14">
        <v>0</v>
      </c>
      <c r="K81" s="14"/>
      <c r="L81" s="14">
        <v>0</v>
      </c>
      <c r="M81" s="85">
        <v>0</v>
      </c>
      <c r="N81" s="14">
        <v>0</v>
      </c>
    </row>
    <row r="82" spans="1:14" ht="30" x14ac:dyDescent="0.25">
      <c r="A82" s="71" t="s">
        <v>219</v>
      </c>
      <c r="B82" s="16">
        <f t="shared" si="12"/>
        <v>0</v>
      </c>
      <c r="C82" s="82">
        <v>0</v>
      </c>
      <c r="D82" s="14">
        <v>0</v>
      </c>
      <c r="E82" s="14">
        <v>0</v>
      </c>
      <c r="F82" s="14">
        <v>0</v>
      </c>
      <c r="G82" s="14">
        <v>0</v>
      </c>
      <c r="H82" s="14">
        <v>0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</row>
    <row r="83" spans="1:14" x14ac:dyDescent="0.25">
      <c r="A83" s="83" t="s">
        <v>220</v>
      </c>
      <c r="B83" s="16">
        <f t="shared" si="12"/>
        <v>0</v>
      </c>
      <c r="C83" s="84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</row>
    <row r="84" spans="1:14" x14ac:dyDescent="0.25">
      <c r="A84" s="11"/>
      <c r="B84" s="14"/>
      <c r="C84" s="14">
        <v>0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0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</row>
    <row r="85" spans="1:14" ht="31.5" x14ac:dyDescent="0.25">
      <c r="A85" s="86" t="s">
        <v>221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</row>
    <row r="86" spans="1:14" x14ac:dyDescent="0.25">
      <c r="A86" t="s">
        <v>234</v>
      </c>
    </row>
    <row r="87" spans="1:14" x14ac:dyDescent="0.25">
      <c r="A87" t="s">
        <v>235</v>
      </c>
    </row>
    <row r="88" spans="1:14" x14ac:dyDescent="0.25">
      <c r="A88" t="s">
        <v>236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88"/>
  <sheetViews>
    <sheetView workbookViewId="0">
      <selection activeCell="J73" sqref="J73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2.5703125" customWidth="1"/>
    <col min="4" max="4" width="13.7109375" customWidth="1"/>
    <col min="5" max="5" width="13" customWidth="1"/>
    <col min="6" max="6" width="12.5703125" customWidth="1"/>
    <col min="7" max="7" width="18.28515625" customWidth="1"/>
    <col min="8" max="8" width="12.7109375" customWidth="1"/>
    <col min="9" max="10" width="12.5703125" customWidth="1"/>
    <col min="11" max="11" width="12.42578125" customWidth="1"/>
    <col min="12" max="12" width="12.5703125" customWidth="1"/>
    <col min="13" max="13" width="13.140625" customWidth="1"/>
    <col min="14" max="14" width="12.7109375" bestFit="1" customWidth="1"/>
  </cols>
  <sheetData>
    <row r="1" spans="1:14" ht="18.75" x14ac:dyDescent="0.25">
      <c r="A1" s="827" t="s">
        <v>83</v>
      </c>
      <c r="B1" s="827"/>
      <c r="C1" s="827"/>
      <c r="D1" s="827"/>
      <c r="E1" s="827"/>
      <c r="F1" s="827"/>
      <c r="G1" s="827"/>
      <c r="H1" s="827"/>
      <c r="I1" s="827"/>
      <c r="J1" s="827"/>
      <c r="K1" s="827"/>
      <c r="L1" s="827"/>
      <c r="M1" s="827"/>
      <c r="N1" s="827"/>
    </row>
    <row r="2" spans="1:14" ht="18.75" x14ac:dyDescent="0.25">
      <c r="A2" s="827" t="s">
        <v>319</v>
      </c>
      <c r="B2" s="827"/>
      <c r="C2" s="827"/>
      <c r="D2" s="827"/>
      <c r="E2" s="827"/>
      <c r="F2" s="827"/>
      <c r="G2" s="827"/>
      <c r="H2" s="827"/>
      <c r="I2" s="827"/>
      <c r="J2" s="827"/>
      <c r="K2" s="827"/>
      <c r="L2" s="827"/>
      <c r="M2" s="827"/>
      <c r="N2" s="827"/>
    </row>
    <row r="3" spans="1:14" ht="18.75" x14ac:dyDescent="0.25">
      <c r="A3" s="827" t="s">
        <v>671</v>
      </c>
      <c r="B3" s="827"/>
      <c r="C3" s="827"/>
      <c r="D3" s="827"/>
      <c r="E3" s="827"/>
      <c r="F3" s="827"/>
      <c r="G3" s="827"/>
      <c r="H3" s="827"/>
      <c r="I3" s="827"/>
      <c r="J3" s="827"/>
      <c r="K3" s="827"/>
      <c r="L3" s="827"/>
      <c r="M3" s="827"/>
      <c r="N3" s="827"/>
    </row>
    <row r="4" spans="1:14" ht="15.75" x14ac:dyDescent="0.25">
      <c r="A4" s="828" t="s">
        <v>597</v>
      </c>
      <c r="B4" s="828"/>
      <c r="C4" s="828"/>
      <c r="D4" s="828"/>
      <c r="E4" s="828"/>
      <c r="F4" s="828"/>
      <c r="G4" s="828"/>
      <c r="H4" s="828"/>
      <c r="I4" s="828"/>
      <c r="J4" s="828"/>
      <c r="K4" s="828"/>
      <c r="L4" s="828"/>
      <c r="M4" s="828"/>
      <c r="N4" s="828"/>
    </row>
    <row r="5" spans="1:14" x14ac:dyDescent="0.25">
      <c r="A5" s="829" t="s">
        <v>138</v>
      </c>
      <c r="B5" s="829"/>
      <c r="C5" s="829"/>
      <c r="D5" s="829"/>
      <c r="E5" s="829"/>
      <c r="F5" s="829"/>
      <c r="G5" s="829"/>
      <c r="H5" s="829"/>
      <c r="I5" s="829"/>
      <c r="J5" s="829"/>
      <c r="K5" s="829"/>
      <c r="L5" s="829"/>
      <c r="M5" s="829"/>
      <c r="N5" s="829"/>
    </row>
    <row r="7" spans="1:14" ht="15.75" x14ac:dyDescent="0.25">
      <c r="A7" s="77" t="s">
        <v>139</v>
      </c>
      <c r="B7" s="78" t="s">
        <v>44</v>
      </c>
      <c r="C7" s="78" t="s">
        <v>222</v>
      </c>
      <c r="D7" s="78" t="s">
        <v>223</v>
      </c>
      <c r="E7" s="78" t="s">
        <v>224</v>
      </c>
      <c r="F7" s="78" t="s">
        <v>225</v>
      </c>
      <c r="G7" s="78" t="s">
        <v>226</v>
      </c>
      <c r="H7" s="78" t="s">
        <v>227</v>
      </c>
      <c r="I7" s="78" t="s">
        <v>228</v>
      </c>
      <c r="J7" s="78" t="s">
        <v>229</v>
      </c>
      <c r="K7" s="78" t="s">
        <v>230</v>
      </c>
      <c r="L7" s="78" t="s">
        <v>231</v>
      </c>
      <c r="M7" s="78" t="s">
        <v>232</v>
      </c>
      <c r="N7" s="78" t="s">
        <v>233</v>
      </c>
    </row>
    <row r="8" spans="1:14" x14ac:dyDescent="0.25">
      <c r="A8" s="66" t="s">
        <v>141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</row>
    <row r="9" spans="1:14" ht="30" x14ac:dyDescent="0.25">
      <c r="A9" s="68" t="s">
        <v>146</v>
      </c>
      <c r="B9" s="80">
        <f t="shared" ref="B9:B15" si="0">SUM(C9:N9)</f>
        <v>3465184</v>
      </c>
      <c r="C9" s="81">
        <f>SUM(C10:C14)</f>
        <v>0</v>
      </c>
      <c r="D9" s="81">
        <f t="shared" ref="D9:N9" si="1">SUM(D10:D14)</f>
        <v>0</v>
      </c>
      <c r="E9" s="81">
        <f t="shared" si="1"/>
        <v>3465184</v>
      </c>
      <c r="F9" s="81">
        <f t="shared" si="1"/>
        <v>0</v>
      </c>
      <c r="G9" s="81">
        <f t="shared" si="1"/>
        <v>0</v>
      </c>
      <c r="H9" s="81">
        <f t="shared" si="1"/>
        <v>0</v>
      </c>
      <c r="I9" s="81">
        <f t="shared" si="1"/>
        <v>0</v>
      </c>
      <c r="J9" s="81">
        <f t="shared" si="1"/>
        <v>0</v>
      </c>
      <c r="K9" s="81">
        <f t="shared" si="1"/>
        <v>0</v>
      </c>
      <c r="L9" s="81">
        <f t="shared" si="1"/>
        <v>0</v>
      </c>
      <c r="M9" s="81">
        <f t="shared" si="1"/>
        <v>0</v>
      </c>
      <c r="N9" s="81">
        <f t="shared" si="1"/>
        <v>0</v>
      </c>
    </row>
    <row r="10" spans="1:14" x14ac:dyDescent="0.25">
      <c r="A10" s="71" t="s">
        <v>147</v>
      </c>
      <c r="B10" s="16">
        <f t="shared" si="0"/>
        <v>0</v>
      </c>
      <c r="C10" s="82">
        <v>0</v>
      </c>
      <c r="D10" s="82">
        <v>0</v>
      </c>
      <c r="E10" s="82">
        <v>0</v>
      </c>
      <c r="F10" s="82">
        <v>0</v>
      </c>
      <c r="G10" s="82">
        <v>0</v>
      </c>
      <c r="H10" s="82">
        <v>0</v>
      </c>
      <c r="I10" s="82">
        <v>0</v>
      </c>
      <c r="J10" s="82">
        <v>0</v>
      </c>
      <c r="K10" s="82">
        <v>0</v>
      </c>
      <c r="L10" s="82">
        <v>0</v>
      </c>
      <c r="M10" s="82">
        <v>0</v>
      </c>
      <c r="N10" s="82">
        <v>0</v>
      </c>
    </row>
    <row r="11" spans="1:14" x14ac:dyDescent="0.25">
      <c r="A11" s="71" t="s">
        <v>148</v>
      </c>
      <c r="B11" s="16">
        <f t="shared" si="0"/>
        <v>3465184</v>
      </c>
      <c r="C11" s="82">
        <v>0</v>
      </c>
      <c r="D11" s="82"/>
      <c r="E11" s="82">
        <v>3465184</v>
      </c>
      <c r="F11" s="82">
        <v>0</v>
      </c>
      <c r="G11" s="82">
        <v>0</v>
      </c>
      <c r="H11" s="82">
        <v>0</v>
      </c>
      <c r="I11" s="82">
        <v>0</v>
      </c>
      <c r="J11" s="82">
        <v>0</v>
      </c>
      <c r="K11" s="82">
        <v>0</v>
      </c>
      <c r="L11" s="82"/>
      <c r="M11" s="82"/>
      <c r="N11" s="82">
        <v>0</v>
      </c>
    </row>
    <row r="12" spans="1:14" ht="30" x14ac:dyDescent="0.25">
      <c r="A12" s="71" t="s">
        <v>149</v>
      </c>
      <c r="B12" s="16">
        <f t="shared" si="0"/>
        <v>0</v>
      </c>
      <c r="C12" s="82">
        <v>0</v>
      </c>
      <c r="D12" s="82">
        <v>0</v>
      </c>
      <c r="E12" s="82">
        <v>0</v>
      </c>
      <c r="F12" s="82">
        <v>0</v>
      </c>
      <c r="G12" s="82">
        <v>0</v>
      </c>
      <c r="H12" s="82">
        <v>0</v>
      </c>
      <c r="I12" s="82">
        <v>0</v>
      </c>
      <c r="J12" s="82">
        <v>0</v>
      </c>
      <c r="K12" s="82">
        <v>0</v>
      </c>
      <c r="L12" s="82">
        <v>0</v>
      </c>
      <c r="M12" s="82">
        <v>0</v>
      </c>
      <c r="N12" s="82">
        <v>0</v>
      </c>
    </row>
    <row r="13" spans="1:14" ht="30" x14ac:dyDescent="0.25">
      <c r="A13" s="71" t="s">
        <v>150</v>
      </c>
      <c r="B13" s="16">
        <f t="shared" si="0"/>
        <v>0</v>
      </c>
      <c r="C13" s="82">
        <v>0</v>
      </c>
      <c r="D13" s="82">
        <v>0</v>
      </c>
      <c r="E13" s="82">
        <v>0</v>
      </c>
      <c r="F13" s="82">
        <v>0</v>
      </c>
      <c r="G13" s="82">
        <v>0</v>
      </c>
      <c r="H13" s="82">
        <v>0</v>
      </c>
      <c r="I13" s="82">
        <v>0</v>
      </c>
      <c r="J13" s="82">
        <v>0</v>
      </c>
      <c r="K13" s="82">
        <v>0</v>
      </c>
      <c r="L13" s="82">
        <v>0</v>
      </c>
      <c r="M13" s="82">
        <v>0</v>
      </c>
      <c r="N13" s="82">
        <v>0</v>
      </c>
    </row>
    <row r="14" spans="1:14" ht="30" x14ac:dyDescent="0.25">
      <c r="A14" s="71" t="s">
        <v>151</v>
      </c>
      <c r="B14" s="16">
        <f t="shared" si="0"/>
        <v>0</v>
      </c>
      <c r="C14" s="82">
        <v>0</v>
      </c>
      <c r="D14" s="82">
        <v>0</v>
      </c>
      <c r="E14" s="82">
        <v>0</v>
      </c>
      <c r="F14" s="82">
        <v>0</v>
      </c>
      <c r="G14" s="82">
        <v>0</v>
      </c>
      <c r="H14" s="82">
        <v>0</v>
      </c>
      <c r="I14" s="82">
        <v>0</v>
      </c>
      <c r="J14" s="82">
        <v>0</v>
      </c>
      <c r="K14" s="82">
        <v>0</v>
      </c>
      <c r="L14" s="82">
        <v>0</v>
      </c>
      <c r="M14" s="82">
        <v>0</v>
      </c>
      <c r="N14" s="82">
        <v>0</v>
      </c>
    </row>
    <row r="15" spans="1:14" x14ac:dyDescent="0.25">
      <c r="A15" s="68" t="s">
        <v>152</v>
      </c>
      <c r="B15" s="80">
        <f t="shared" si="0"/>
        <v>7044349.6900000013</v>
      </c>
      <c r="C15" s="81">
        <f>SUM(C16:C24)</f>
        <v>1115927.81</v>
      </c>
      <c r="D15" s="81">
        <f t="shared" ref="D15:N15" si="2">SUM(D16:D24)</f>
        <v>1134925.6399999999</v>
      </c>
      <c r="E15" s="81">
        <f t="shared" si="2"/>
        <v>1122736.6299999999</v>
      </c>
      <c r="F15" s="81">
        <f t="shared" si="2"/>
        <v>780298.35000000009</v>
      </c>
      <c r="G15" s="81">
        <f t="shared" si="2"/>
        <v>733564.88</v>
      </c>
      <c r="H15" s="81">
        <f t="shared" si="2"/>
        <v>918609.31</v>
      </c>
      <c r="I15" s="81">
        <f t="shared" si="2"/>
        <v>680232.79</v>
      </c>
      <c r="J15" s="81">
        <f t="shared" si="2"/>
        <v>558054.28</v>
      </c>
      <c r="K15" s="81">
        <f t="shared" si="2"/>
        <v>0</v>
      </c>
      <c r="L15" s="81">
        <f t="shared" si="2"/>
        <v>0</v>
      </c>
      <c r="M15" s="81">
        <f t="shared" si="2"/>
        <v>0</v>
      </c>
      <c r="N15" s="81">
        <f t="shared" si="2"/>
        <v>0</v>
      </c>
    </row>
    <row r="16" spans="1:14" x14ac:dyDescent="0.25">
      <c r="A16" s="71" t="s">
        <v>153</v>
      </c>
      <c r="B16" s="16">
        <f t="shared" ref="B16:B24" si="3">SUM(C16:N16)</f>
        <v>910105.89</v>
      </c>
      <c r="C16" s="82">
        <f>126364.99</f>
        <v>126364.99</v>
      </c>
      <c r="D16" s="82">
        <v>276235.84999999998</v>
      </c>
      <c r="E16" s="82">
        <v>386572.2</v>
      </c>
      <c r="F16" s="82">
        <f>8531.56</f>
        <v>8531.56</v>
      </c>
      <c r="G16" s="82">
        <f>32240.44</f>
        <v>32240.44</v>
      </c>
      <c r="H16" s="82">
        <v>26974.39</v>
      </c>
      <c r="I16" s="82">
        <f>26333.6</f>
        <v>26333.599999999999</v>
      </c>
      <c r="J16" s="82">
        <v>26852.86</v>
      </c>
      <c r="K16" s="82">
        <v>0</v>
      </c>
      <c r="L16" s="82">
        <v>0</v>
      </c>
      <c r="M16" s="82">
        <v>0</v>
      </c>
      <c r="N16" s="82">
        <v>0</v>
      </c>
    </row>
    <row r="17" spans="1:14" ht="30" x14ac:dyDescent="0.25">
      <c r="A17" s="71" t="s">
        <v>154</v>
      </c>
      <c r="B17" s="16">
        <f>SUM(C17:N17)</f>
        <v>1341914.9099999999</v>
      </c>
      <c r="C17" s="82">
        <v>177236</v>
      </c>
      <c r="D17" s="82">
        <v>188549.99</v>
      </c>
      <c r="E17" s="82">
        <v>203236</v>
      </c>
      <c r="F17" s="82">
        <v>195880</v>
      </c>
      <c r="G17" s="82">
        <v>168268</v>
      </c>
      <c r="H17" s="82">
        <v>0</v>
      </c>
      <c r="I17" s="82">
        <v>188092</v>
      </c>
      <c r="J17" s="82">
        <v>220652.92</v>
      </c>
      <c r="K17" s="82">
        <v>0</v>
      </c>
      <c r="L17" s="82">
        <v>0</v>
      </c>
      <c r="M17" s="82">
        <v>0</v>
      </c>
      <c r="N17" s="82">
        <v>0</v>
      </c>
    </row>
    <row r="18" spans="1:14" x14ac:dyDescent="0.25">
      <c r="A18" s="71" t="s">
        <v>155</v>
      </c>
      <c r="B18" s="16">
        <f t="shared" si="3"/>
        <v>0</v>
      </c>
      <c r="C18" s="82">
        <v>0</v>
      </c>
      <c r="D18" s="82">
        <v>0</v>
      </c>
      <c r="E18" s="82">
        <v>0</v>
      </c>
      <c r="F18" s="82">
        <v>0</v>
      </c>
      <c r="G18" s="82">
        <v>0</v>
      </c>
      <c r="H18" s="82">
        <v>0</v>
      </c>
      <c r="I18" s="82">
        <v>0</v>
      </c>
      <c r="J18" s="82">
        <v>0</v>
      </c>
      <c r="K18" s="82">
        <v>0</v>
      </c>
      <c r="L18" s="82">
        <v>0</v>
      </c>
      <c r="M18" s="82">
        <v>0</v>
      </c>
      <c r="N18" s="82">
        <v>0</v>
      </c>
    </row>
    <row r="19" spans="1:14" ht="18" customHeight="1" x14ac:dyDescent="0.25">
      <c r="A19" s="71" t="s">
        <v>156</v>
      </c>
      <c r="B19" s="16">
        <f t="shared" si="3"/>
        <v>62441.5</v>
      </c>
      <c r="C19" s="82">
        <v>0</v>
      </c>
      <c r="D19" s="82">
        <v>23430</v>
      </c>
      <c r="E19" s="82">
        <v>39011.5</v>
      </c>
      <c r="F19" s="82">
        <v>0</v>
      </c>
      <c r="G19" s="82">
        <v>0</v>
      </c>
      <c r="H19" s="82">
        <v>0</v>
      </c>
      <c r="I19" s="82">
        <v>0</v>
      </c>
      <c r="J19" s="82">
        <v>0</v>
      </c>
      <c r="K19" s="82">
        <v>0</v>
      </c>
      <c r="L19" s="82">
        <v>0</v>
      </c>
      <c r="M19" s="82">
        <v>0</v>
      </c>
      <c r="N19" s="82">
        <v>0</v>
      </c>
    </row>
    <row r="20" spans="1:14" x14ac:dyDescent="0.25">
      <c r="A20" s="71" t="s">
        <v>157</v>
      </c>
      <c r="B20" s="16">
        <f t="shared" si="3"/>
        <v>262966.54000000004</v>
      </c>
      <c r="C20" s="82">
        <f>80830</f>
        <v>80830</v>
      </c>
      <c r="D20" s="82">
        <v>0</v>
      </c>
      <c r="E20" s="82">
        <v>26000</v>
      </c>
      <c r="F20" s="82">
        <v>32000</v>
      </c>
      <c r="G20" s="82">
        <v>0</v>
      </c>
      <c r="H20" s="82">
        <v>54000</v>
      </c>
      <c r="I20" s="82">
        <f>41636.54</f>
        <v>41636.54</v>
      </c>
      <c r="J20" s="82">
        <v>28500</v>
      </c>
      <c r="K20" s="82">
        <v>0</v>
      </c>
      <c r="L20" s="82">
        <v>0</v>
      </c>
      <c r="M20" s="82">
        <v>0</v>
      </c>
      <c r="N20" s="82">
        <v>0</v>
      </c>
    </row>
    <row r="21" spans="1:14" x14ac:dyDescent="0.25">
      <c r="A21" s="71" t="s">
        <v>158</v>
      </c>
      <c r="B21" s="16">
        <f t="shared" si="3"/>
        <v>399999.99</v>
      </c>
      <c r="C21" s="82">
        <v>0</v>
      </c>
      <c r="D21" s="82">
        <v>0</v>
      </c>
      <c r="E21" s="82">
        <v>100000</v>
      </c>
      <c r="F21" s="82">
        <v>200000</v>
      </c>
      <c r="G21" s="82">
        <v>99999.99</v>
      </c>
      <c r="H21" s="82">
        <v>0</v>
      </c>
      <c r="I21" s="82">
        <v>0</v>
      </c>
      <c r="J21" s="82">
        <v>0</v>
      </c>
      <c r="K21" s="82">
        <v>0</v>
      </c>
      <c r="L21" s="82">
        <v>0</v>
      </c>
      <c r="M21" s="82">
        <v>0</v>
      </c>
      <c r="N21" s="82">
        <v>0</v>
      </c>
    </row>
    <row r="22" spans="1:14" ht="45" x14ac:dyDescent="0.25">
      <c r="A22" s="71" t="s">
        <v>159</v>
      </c>
      <c r="B22" s="16">
        <f t="shared" si="3"/>
        <v>1366956.24</v>
      </c>
      <c r="C22" s="82">
        <f>165901.32</f>
        <v>165901.32</v>
      </c>
      <c r="D22" s="82">
        <v>362064.8</v>
      </c>
      <c r="E22" s="82">
        <v>74576</v>
      </c>
      <c r="F22" s="82">
        <v>119220</v>
      </c>
      <c r="G22" s="82">
        <v>193747.20000000001</v>
      </c>
      <c r="H22" s="82">
        <v>197347.42</v>
      </c>
      <c r="I22" s="82">
        <v>247099.5</v>
      </c>
      <c r="J22" s="82">
        <v>7000</v>
      </c>
      <c r="K22" s="82">
        <v>0</v>
      </c>
      <c r="L22" s="82">
        <v>0</v>
      </c>
      <c r="M22" s="82">
        <v>0</v>
      </c>
      <c r="N22" s="82">
        <v>0</v>
      </c>
    </row>
    <row r="23" spans="1:14" ht="30" x14ac:dyDescent="0.25">
      <c r="A23" s="71" t="s">
        <v>160</v>
      </c>
      <c r="B23" s="16">
        <f t="shared" si="3"/>
        <v>1749982.93</v>
      </c>
      <c r="C23" s="82">
        <v>292425.5</v>
      </c>
      <c r="D23" s="82">
        <v>194080</v>
      </c>
      <c r="E23" s="82">
        <v>293340.93</v>
      </c>
      <c r="F23" s="82">
        <v>117300</v>
      </c>
      <c r="G23" s="82">
        <v>50000</v>
      </c>
      <c r="H23" s="82">
        <v>586836.5</v>
      </c>
      <c r="I23" s="82">
        <v>18900</v>
      </c>
      <c r="J23" s="82">
        <f>197100</f>
        <v>197100</v>
      </c>
      <c r="K23" s="82">
        <v>0</v>
      </c>
      <c r="L23" s="82">
        <v>0</v>
      </c>
      <c r="M23" s="82">
        <v>0</v>
      </c>
      <c r="N23" s="82">
        <v>0</v>
      </c>
    </row>
    <row r="24" spans="1:14" ht="30" x14ac:dyDescent="0.25">
      <c r="A24" s="71" t="s">
        <v>161</v>
      </c>
      <c r="B24" s="16">
        <f t="shared" si="3"/>
        <v>949981.69000000006</v>
      </c>
      <c r="C24" s="82">
        <f>273170</f>
        <v>273170</v>
      </c>
      <c r="D24" s="82">
        <v>90565</v>
      </c>
      <c r="E24" s="82">
        <v>0</v>
      </c>
      <c r="F24" s="82">
        <v>107366.79</v>
      </c>
      <c r="G24" s="82">
        <f>189309.25</f>
        <v>189309.25</v>
      </c>
      <c r="H24" s="82">
        <v>53451</v>
      </c>
      <c r="I24" s="82">
        <v>158171.15</v>
      </c>
      <c r="J24" s="82">
        <v>77948.5</v>
      </c>
      <c r="K24" s="82">
        <v>0</v>
      </c>
      <c r="L24" s="82">
        <v>0</v>
      </c>
      <c r="M24" s="82">
        <v>0</v>
      </c>
      <c r="N24" s="82">
        <v>0</v>
      </c>
    </row>
    <row r="25" spans="1:14" x14ac:dyDescent="0.25">
      <c r="A25" s="68" t="s">
        <v>162</v>
      </c>
      <c r="B25" s="80">
        <f>SUM(C25:N25)</f>
        <v>30578186.859999996</v>
      </c>
      <c r="C25" s="81">
        <f>SUM(C26:C34)</f>
        <v>4332099.5999999996</v>
      </c>
      <c r="D25" s="81">
        <f t="shared" ref="D25:M25" si="4">SUM(D26:D34)</f>
        <v>4805796.8499999996</v>
      </c>
      <c r="E25" s="81">
        <f t="shared" si="4"/>
        <v>4006292.29</v>
      </c>
      <c r="F25" s="81">
        <f t="shared" si="4"/>
        <v>1736389.15</v>
      </c>
      <c r="G25" s="81">
        <f t="shared" si="4"/>
        <v>3666921.16</v>
      </c>
      <c r="H25" s="81">
        <f t="shared" si="4"/>
        <v>5502760.1500000004</v>
      </c>
      <c r="I25" s="81">
        <f t="shared" si="4"/>
        <v>3661957.11</v>
      </c>
      <c r="J25" s="81">
        <f t="shared" si="4"/>
        <v>2865970.55</v>
      </c>
      <c r="K25" s="81">
        <f t="shared" si="4"/>
        <v>0</v>
      </c>
      <c r="L25" s="81">
        <f t="shared" si="4"/>
        <v>0</v>
      </c>
      <c r="M25" s="81">
        <f t="shared" si="4"/>
        <v>0</v>
      </c>
      <c r="N25" s="81">
        <f>SUM(N26:N34)</f>
        <v>0</v>
      </c>
    </row>
    <row r="26" spans="1:14" ht="30" x14ac:dyDescent="0.25">
      <c r="A26" s="71" t="s">
        <v>163</v>
      </c>
      <c r="B26" s="16">
        <f t="shared" ref="B26:B34" si="5">SUM(C26:N26)</f>
        <v>3158982.69</v>
      </c>
      <c r="C26" s="82">
        <f>436702.6</f>
        <v>436702.6</v>
      </c>
      <c r="D26" s="82">
        <v>391193.59</v>
      </c>
      <c r="E26" s="82">
        <v>368848.63</v>
      </c>
      <c r="F26" s="82">
        <v>164959.76999999999</v>
      </c>
      <c r="G26" s="82">
        <f>482931.87</f>
        <v>482931.87</v>
      </c>
      <c r="H26" s="82">
        <v>379198.56</v>
      </c>
      <c r="I26" s="82">
        <v>540075.82999999996</v>
      </c>
      <c r="J26" s="82">
        <v>395071.84</v>
      </c>
      <c r="K26" s="82">
        <v>0</v>
      </c>
      <c r="L26" s="82">
        <v>0</v>
      </c>
      <c r="M26" s="82">
        <v>0</v>
      </c>
      <c r="N26" s="82">
        <v>0</v>
      </c>
    </row>
    <row r="27" spans="1:14" x14ac:dyDescent="0.25">
      <c r="A27" s="71" t="s">
        <v>164</v>
      </c>
      <c r="B27" s="16">
        <f t="shared" si="5"/>
        <v>121264.56</v>
      </c>
      <c r="C27" s="82">
        <v>0</v>
      </c>
      <c r="D27" s="82">
        <v>0</v>
      </c>
      <c r="E27" s="82">
        <v>0</v>
      </c>
      <c r="F27" s="82">
        <v>0</v>
      </c>
      <c r="G27" s="82">
        <v>119579.55</v>
      </c>
      <c r="H27" s="82">
        <v>735.01</v>
      </c>
      <c r="I27" s="82">
        <v>950</v>
      </c>
      <c r="J27" s="82">
        <v>0</v>
      </c>
      <c r="K27" s="82">
        <v>0</v>
      </c>
      <c r="L27" s="82">
        <v>0</v>
      </c>
      <c r="M27" s="82">
        <v>0</v>
      </c>
      <c r="N27" s="82">
        <v>0</v>
      </c>
    </row>
    <row r="28" spans="1:14" ht="30" x14ac:dyDescent="0.25">
      <c r="A28" s="71" t="s">
        <v>165</v>
      </c>
      <c r="B28" s="16">
        <f t="shared" si="5"/>
        <v>751027.64999999991</v>
      </c>
      <c r="C28" s="82">
        <v>78422</v>
      </c>
      <c r="D28" s="82">
        <v>125740.8</v>
      </c>
      <c r="E28" s="82">
        <v>30767.77</v>
      </c>
      <c r="F28" s="82">
        <v>87230</v>
      </c>
      <c r="G28" s="82">
        <v>71733</v>
      </c>
      <c r="H28" s="82">
        <v>73783.839999999997</v>
      </c>
      <c r="I28" s="82">
        <v>237600.24</v>
      </c>
      <c r="J28" s="82">
        <v>45750</v>
      </c>
      <c r="K28" s="82">
        <v>0</v>
      </c>
      <c r="L28" s="82">
        <v>0</v>
      </c>
      <c r="M28" s="82">
        <v>0</v>
      </c>
      <c r="N28" s="82">
        <v>0</v>
      </c>
    </row>
    <row r="29" spans="1:14" x14ac:dyDescent="0.25">
      <c r="A29" s="71" t="s">
        <v>166</v>
      </c>
      <c r="B29" s="16">
        <f t="shared" si="5"/>
        <v>4020521.0300000003</v>
      </c>
      <c r="C29" s="82">
        <v>1055701.96</v>
      </c>
      <c r="D29" s="82">
        <v>654998.16</v>
      </c>
      <c r="E29" s="82">
        <v>185734.2</v>
      </c>
      <c r="F29" s="82">
        <v>56466</v>
      </c>
      <c r="G29" s="82">
        <v>382106.07</v>
      </c>
      <c r="H29" s="82">
        <v>1176761.03</v>
      </c>
      <c r="I29" s="82">
        <v>135068.20000000001</v>
      </c>
      <c r="J29" s="82">
        <v>373685.41</v>
      </c>
      <c r="K29" s="82">
        <v>0</v>
      </c>
      <c r="L29" s="82">
        <v>0</v>
      </c>
      <c r="M29" s="82">
        <v>0</v>
      </c>
      <c r="N29" s="82">
        <v>0</v>
      </c>
    </row>
    <row r="30" spans="1:14" ht="30" x14ac:dyDescent="0.25">
      <c r="A30" s="71" t="s">
        <v>167</v>
      </c>
      <c r="B30" s="16">
        <f t="shared" si="5"/>
        <v>85433.459999999992</v>
      </c>
      <c r="C30" s="82">
        <v>0</v>
      </c>
      <c r="D30" s="82">
        <v>0</v>
      </c>
      <c r="E30" s="82">
        <v>0</v>
      </c>
      <c r="F30" s="82">
        <v>14435.53</v>
      </c>
      <c r="G30" s="82"/>
      <c r="H30" s="82">
        <v>0</v>
      </c>
      <c r="I30" s="82">
        <v>70997.929999999993</v>
      </c>
      <c r="J30" s="82">
        <v>0</v>
      </c>
      <c r="K30" s="82">
        <v>0</v>
      </c>
      <c r="L30" s="82">
        <v>0</v>
      </c>
      <c r="M30" s="82">
        <v>0</v>
      </c>
      <c r="N30" s="82">
        <v>0</v>
      </c>
    </row>
    <row r="31" spans="1:14" ht="30" x14ac:dyDescent="0.25">
      <c r="A31" s="71" t="s">
        <v>168</v>
      </c>
      <c r="B31" s="16">
        <f t="shared" si="5"/>
        <v>125778.64</v>
      </c>
      <c r="C31" s="82">
        <v>0</v>
      </c>
      <c r="D31" s="82">
        <v>50598.8</v>
      </c>
      <c r="E31" s="82">
        <v>1350</v>
      </c>
      <c r="F31" s="82">
        <v>23929.98</v>
      </c>
      <c r="G31" s="82">
        <f>15700</f>
        <v>15700</v>
      </c>
      <c r="H31" s="82">
        <v>0</v>
      </c>
      <c r="I31" s="82">
        <v>2199.86</v>
      </c>
      <c r="J31" s="82">
        <v>32000</v>
      </c>
      <c r="K31" s="82">
        <v>0</v>
      </c>
      <c r="L31" s="82">
        <v>0</v>
      </c>
      <c r="M31" s="82">
        <v>0</v>
      </c>
      <c r="N31" s="82">
        <v>0</v>
      </c>
    </row>
    <row r="32" spans="1:14" ht="30" x14ac:dyDescent="0.25">
      <c r="A32" s="71" t="s">
        <v>169</v>
      </c>
      <c r="B32" s="16">
        <f t="shared" si="5"/>
        <v>17222000.880000003</v>
      </c>
      <c r="C32" s="82">
        <v>2139687.04</v>
      </c>
      <c r="D32" s="82">
        <v>2364863.69</v>
      </c>
      <c r="E32" s="82">
        <v>2884678.73</v>
      </c>
      <c r="F32" s="82">
        <v>992809.74</v>
      </c>
      <c r="G32" s="82">
        <v>2080406.49</v>
      </c>
      <c r="H32" s="82">
        <v>2747450.98</v>
      </c>
      <c r="I32" s="82">
        <v>2173524.75</v>
      </c>
      <c r="J32" s="82">
        <v>1838579.46</v>
      </c>
      <c r="K32" s="82">
        <v>0</v>
      </c>
      <c r="L32" s="82">
        <v>0</v>
      </c>
      <c r="M32" s="82">
        <v>0</v>
      </c>
      <c r="N32" s="82">
        <v>0</v>
      </c>
    </row>
    <row r="33" spans="1:14" ht="45" x14ac:dyDescent="0.25">
      <c r="A33" s="71" t="s">
        <v>170</v>
      </c>
      <c r="B33" s="16">
        <f t="shared" si="5"/>
        <v>0</v>
      </c>
      <c r="C33" s="82">
        <v>0</v>
      </c>
      <c r="D33" s="82">
        <v>0</v>
      </c>
      <c r="E33" s="82">
        <v>0</v>
      </c>
      <c r="F33" s="82">
        <v>0</v>
      </c>
      <c r="G33" s="82">
        <v>0</v>
      </c>
      <c r="H33" s="82">
        <v>0</v>
      </c>
      <c r="I33" s="82">
        <v>0</v>
      </c>
      <c r="J33" s="82">
        <v>0</v>
      </c>
      <c r="K33" s="82">
        <v>0</v>
      </c>
      <c r="L33" s="82">
        <v>0</v>
      </c>
      <c r="M33" s="82">
        <v>0</v>
      </c>
      <c r="N33" s="82">
        <v>0</v>
      </c>
    </row>
    <row r="34" spans="1:14" x14ac:dyDescent="0.25">
      <c r="A34" s="71" t="s">
        <v>171</v>
      </c>
      <c r="B34" s="16">
        <f t="shared" si="5"/>
        <v>5093177.95</v>
      </c>
      <c r="C34" s="82">
        <v>621586</v>
      </c>
      <c r="D34" s="82">
        <v>1218401.81</v>
      </c>
      <c r="E34" s="82">
        <v>534912.96</v>
      </c>
      <c r="F34" s="82">
        <v>396558.13</v>
      </c>
      <c r="G34" s="82">
        <v>514464.18</v>
      </c>
      <c r="H34" s="82">
        <v>1124830.73</v>
      </c>
      <c r="I34" s="82">
        <v>501540.3</v>
      </c>
      <c r="J34" s="82">
        <v>180883.84</v>
      </c>
      <c r="K34" s="82">
        <v>0</v>
      </c>
      <c r="L34" s="82">
        <v>0</v>
      </c>
      <c r="M34" s="82">
        <v>0</v>
      </c>
      <c r="N34" s="82">
        <v>0</v>
      </c>
    </row>
    <row r="35" spans="1:14" x14ac:dyDescent="0.25">
      <c r="A35" s="68" t="s">
        <v>172</v>
      </c>
      <c r="B35" s="80">
        <f>SUM(C35:N35)</f>
        <v>0</v>
      </c>
      <c r="C35" s="81">
        <f>SUM(C36:C42)</f>
        <v>0</v>
      </c>
      <c r="D35" s="81">
        <f t="shared" ref="D35:N35" si="6">SUM(D36:D42)</f>
        <v>0</v>
      </c>
      <c r="E35" s="81">
        <f t="shared" si="6"/>
        <v>0</v>
      </c>
      <c r="F35" s="81">
        <f t="shared" si="6"/>
        <v>0</v>
      </c>
      <c r="G35" s="81">
        <f t="shared" si="6"/>
        <v>0</v>
      </c>
      <c r="H35" s="81">
        <f t="shared" si="6"/>
        <v>0</v>
      </c>
      <c r="I35" s="81">
        <f t="shared" si="6"/>
        <v>0</v>
      </c>
      <c r="J35" s="81">
        <f t="shared" si="6"/>
        <v>0</v>
      </c>
      <c r="K35" s="81">
        <f t="shared" si="6"/>
        <v>0</v>
      </c>
      <c r="L35" s="81">
        <f t="shared" si="6"/>
        <v>0</v>
      </c>
      <c r="M35" s="81">
        <f t="shared" si="6"/>
        <v>0</v>
      </c>
      <c r="N35" s="81">
        <f t="shared" si="6"/>
        <v>0</v>
      </c>
    </row>
    <row r="36" spans="1:14" ht="30" x14ac:dyDescent="0.25">
      <c r="A36" s="71" t="s">
        <v>173</v>
      </c>
      <c r="B36" s="16">
        <f>SUM(C36:N36)</f>
        <v>0</v>
      </c>
      <c r="C36" s="82">
        <v>0</v>
      </c>
      <c r="D36" s="82">
        <v>0</v>
      </c>
      <c r="E36" s="82">
        <v>0</v>
      </c>
      <c r="F36" s="82">
        <v>0</v>
      </c>
      <c r="G36" s="82">
        <v>0</v>
      </c>
      <c r="H36" s="82">
        <v>0</v>
      </c>
      <c r="I36" s="82">
        <v>0</v>
      </c>
      <c r="J36" s="82">
        <v>0</v>
      </c>
      <c r="K36" s="82">
        <v>0</v>
      </c>
      <c r="L36" s="82">
        <v>0</v>
      </c>
      <c r="M36" s="82">
        <v>0</v>
      </c>
      <c r="N36" s="82">
        <v>0</v>
      </c>
    </row>
    <row r="37" spans="1:14" ht="30" x14ac:dyDescent="0.25">
      <c r="A37" s="71" t="s">
        <v>174</v>
      </c>
      <c r="B37" s="16">
        <f t="shared" ref="B37:B42" si="7">SUM(C37:N37)</f>
        <v>0</v>
      </c>
      <c r="C37" s="82">
        <v>0</v>
      </c>
      <c r="D37" s="82">
        <v>0</v>
      </c>
      <c r="E37" s="82">
        <v>0</v>
      </c>
      <c r="F37" s="82">
        <v>0</v>
      </c>
      <c r="G37" s="82">
        <v>0</v>
      </c>
      <c r="H37" s="82">
        <v>0</v>
      </c>
      <c r="I37" s="82">
        <v>0</v>
      </c>
      <c r="J37" s="82">
        <v>0</v>
      </c>
      <c r="K37" s="82">
        <v>0</v>
      </c>
      <c r="L37" s="82">
        <v>0</v>
      </c>
      <c r="M37" s="82">
        <v>0</v>
      </c>
      <c r="N37" s="82">
        <v>0</v>
      </c>
    </row>
    <row r="38" spans="1:14" ht="30" x14ac:dyDescent="0.25">
      <c r="A38" s="71" t="s">
        <v>175</v>
      </c>
      <c r="B38" s="16">
        <f t="shared" si="7"/>
        <v>0</v>
      </c>
      <c r="C38" s="82">
        <v>0</v>
      </c>
      <c r="D38" s="82">
        <v>0</v>
      </c>
      <c r="E38" s="82">
        <v>0</v>
      </c>
      <c r="F38" s="82">
        <v>0</v>
      </c>
      <c r="G38" s="82">
        <v>0</v>
      </c>
      <c r="H38" s="82">
        <v>0</v>
      </c>
      <c r="I38" s="82">
        <v>0</v>
      </c>
      <c r="J38" s="82">
        <v>0</v>
      </c>
      <c r="K38" s="82">
        <v>0</v>
      </c>
      <c r="L38" s="82">
        <v>0</v>
      </c>
      <c r="M38" s="82">
        <v>0</v>
      </c>
      <c r="N38" s="82">
        <v>0</v>
      </c>
    </row>
    <row r="39" spans="1:14" ht="30" x14ac:dyDescent="0.25">
      <c r="A39" s="71" t="s">
        <v>176</v>
      </c>
      <c r="B39" s="16">
        <f t="shared" si="7"/>
        <v>0</v>
      </c>
      <c r="C39" s="82">
        <v>0</v>
      </c>
      <c r="D39" s="82">
        <v>0</v>
      </c>
      <c r="E39" s="82">
        <v>0</v>
      </c>
      <c r="F39" s="82">
        <v>0</v>
      </c>
      <c r="G39" s="82">
        <v>0</v>
      </c>
      <c r="H39" s="82">
        <v>0</v>
      </c>
      <c r="I39" s="82">
        <v>0</v>
      </c>
      <c r="J39" s="82">
        <v>0</v>
      </c>
      <c r="K39" s="82">
        <v>0</v>
      </c>
      <c r="L39" s="82">
        <v>0</v>
      </c>
      <c r="M39" s="82">
        <v>0</v>
      </c>
      <c r="N39" s="82">
        <v>0</v>
      </c>
    </row>
    <row r="40" spans="1:14" ht="30" x14ac:dyDescent="0.25">
      <c r="A40" s="71" t="s">
        <v>177</v>
      </c>
      <c r="B40" s="16">
        <f t="shared" si="7"/>
        <v>0</v>
      </c>
      <c r="C40" s="82">
        <v>0</v>
      </c>
      <c r="D40" s="82">
        <v>0</v>
      </c>
      <c r="E40" s="82">
        <v>0</v>
      </c>
      <c r="F40" s="82">
        <v>0</v>
      </c>
      <c r="G40" s="82">
        <v>0</v>
      </c>
      <c r="H40" s="82">
        <v>0</v>
      </c>
      <c r="I40" s="82">
        <v>0</v>
      </c>
      <c r="J40" s="82">
        <v>0</v>
      </c>
      <c r="K40" s="82">
        <v>0</v>
      </c>
      <c r="L40" s="82">
        <v>0</v>
      </c>
      <c r="M40" s="82">
        <v>0</v>
      </c>
      <c r="N40" s="82">
        <v>0</v>
      </c>
    </row>
    <row r="41" spans="1:14" ht="30" x14ac:dyDescent="0.25">
      <c r="A41" s="71" t="s">
        <v>178</v>
      </c>
      <c r="B41" s="16">
        <f t="shared" si="7"/>
        <v>0</v>
      </c>
      <c r="C41" s="82">
        <v>0</v>
      </c>
      <c r="D41" s="82">
        <v>0</v>
      </c>
      <c r="E41" s="82">
        <v>0</v>
      </c>
      <c r="F41" s="82">
        <v>0</v>
      </c>
      <c r="G41" s="82">
        <v>0</v>
      </c>
      <c r="H41" s="82">
        <v>0</v>
      </c>
      <c r="I41" s="82">
        <v>0</v>
      </c>
      <c r="J41" s="82">
        <v>0</v>
      </c>
      <c r="K41" s="82">
        <v>0</v>
      </c>
      <c r="L41" s="82">
        <v>0</v>
      </c>
      <c r="M41" s="82">
        <v>0</v>
      </c>
      <c r="N41" s="82">
        <v>0</v>
      </c>
    </row>
    <row r="42" spans="1:14" ht="30" x14ac:dyDescent="0.25">
      <c r="A42" s="71" t="s">
        <v>179</v>
      </c>
      <c r="B42" s="16">
        <f t="shared" si="7"/>
        <v>0</v>
      </c>
      <c r="C42" s="82">
        <v>0</v>
      </c>
      <c r="D42" s="82">
        <v>0</v>
      </c>
      <c r="E42" s="82">
        <v>0</v>
      </c>
      <c r="F42" s="82">
        <v>0</v>
      </c>
      <c r="G42" s="82">
        <v>0</v>
      </c>
      <c r="H42" s="82">
        <v>0</v>
      </c>
      <c r="I42" s="82">
        <v>0</v>
      </c>
      <c r="J42" s="82">
        <v>0</v>
      </c>
      <c r="K42" s="82">
        <v>0</v>
      </c>
      <c r="L42" s="82">
        <v>0</v>
      </c>
      <c r="M42" s="82">
        <v>0</v>
      </c>
      <c r="N42" s="82">
        <v>0</v>
      </c>
    </row>
    <row r="43" spans="1:14" x14ac:dyDescent="0.25">
      <c r="A43" s="68" t="s">
        <v>180</v>
      </c>
      <c r="B43" s="80">
        <f>SUM(C43:N43)</f>
        <v>0</v>
      </c>
      <c r="C43" s="81">
        <f>SUM(C44:C50)</f>
        <v>0</v>
      </c>
      <c r="D43" s="81">
        <f t="shared" ref="D43:N43" si="8">SUM(D44:D50)</f>
        <v>0</v>
      </c>
      <c r="E43" s="81">
        <f t="shared" si="8"/>
        <v>0</v>
      </c>
      <c r="F43" s="81">
        <f t="shared" si="8"/>
        <v>0</v>
      </c>
      <c r="G43" s="81">
        <f t="shared" si="8"/>
        <v>0</v>
      </c>
      <c r="H43" s="81">
        <f t="shared" si="8"/>
        <v>0</v>
      </c>
      <c r="I43" s="81">
        <f t="shared" si="8"/>
        <v>0</v>
      </c>
      <c r="J43" s="81">
        <f t="shared" si="8"/>
        <v>0</v>
      </c>
      <c r="K43" s="81">
        <f t="shared" si="8"/>
        <v>0</v>
      </c>
      <c r="L43" s="81">
        <f t="shared" si="8"/>
        <v>0</v>
      </c>
      <c r="M43" s="81">
        <f t="shared" si="8"/>
        <v>0</v>
      </c>
      <c r="N43" s="81">
        <f t="shared" si="8"/>
        <v>0</v>
      </c>
    </row>
    <row r="44" spans="1:14" ht="30" x14ac:dyDescent="0.25">
      <c r="A44" s="71" t="s">
        <v>181</v>
      </c>
      <c r="B44" s="16">
        <f t="shared" ref="B44:B49" si="9">SUM(C44:N44)</f>
        <v>0</v>
      </c>
      <c r="C44" s="82">
        <v>0</v>
      </c>
      <c r="D44" s="82">
        <v>0</v>
      </c>
      <c r="E44" s="82">
        <v>0</v>
      </c>
      <c r="F44" s="82">
        <v>0</v>
      </c>
      <c r="G44" s="82">
        <v>0</v>
      </c>
      <c r="H44" s="82">
        <v>0</v>
      </c>
      <c r="I44" s="82">
        <v>0</v>
      </c>
      <c r="J44" s="82">
        <v>0</v>
      </c>
      <c r="K44" s="82">
        <v>0</v>
      </c>
      <c r="L44" s="82">
        <v>0</v>
      </c>
      <c r="M44" s="82">
        <v>0</v>
      </c>
      <c r="N44" s="82">
        <v>0</v>
      </c>
    </row>
    <row r="45" spans="1:14" ht="30" x14ac:dyDescent="0.25">
      <c r="A45" s="71" t="s">
        <v>182</v>
      </c>
      <c r="B45" s="16">
        <f t="shared" si="9"/>
        <v>0</v>
      </c>
      <c r="C45" s="82">
        <v>0</v>
      </c>
      <c r="D45" s="82">
        <v>0</v>
      </c>
      <c r="E45" s="82">
        <v>0</v>
      </c>
      <c r="F45" s="82">
        <v>0</v>
      </c>
      <c r="G45" s="82">
        <v>0</v>
      </c>
      <c r="H45" s="82">
        <v>0</v>
      </c>
      <c r="I45" s="82">
        <v>0</v>
      </c>
      <c r="J45" s="82">
        <v>0</v>
      </c>
      <c r="K45" s="82">
        <v>0</v>
      </c>
      <c r="L45" s="82">
        <v>0</v>
      </c>
      <c r="M45" s="82">
        <v>0</v>
      </c>
      <c r="N45" s="82">
        <v>0</v>
      </c>
    </row>
    <row r="46" spans="1:14" ht="30" x14ac:dyDescent="0.25">
      <c r="A46" s="71" t="s">
        <v>183</v>
      </c>
      <c r="B46" s="16">
        <f t="shared" si="9"/>
        <v>0</v>
      </c>
      <c r="C46" s="82">
        <v>0</v>
      </c>
      <c r="D46" s="82">
        <v>0</v>
      </c>
      <c r="E46" s="82">
        <v>0</v>
      </c>
      <c r="F46" s="82">
        <v>0</v>
      </c>
      <c r="G46" s="82">
        <v>0</v>
      </c>
      <c r="H46" s="82">
        <v>0</v>
      </c>
      <c r="I46" s="82">
        <v>0</v>
      </c>
      <c r="J46" s="82">
        <v>0</v>
      </c>
      <c r="K46" s="82">
        <v>0</v>
      </c>
      <c r="L46" s="82">
        <v>0</v>
      </c>
      <c r="M46" s="82">
        <v>0</v>
      </c>
      <c r="N46" s="82">
        <v>0</v>
      </c>
    </row>
    <row r="47" spans="1:14" ht="30" x14ac:dyDescent="0.25">
      <c r="A47" s="71" t="s">
        <v>184</v>
      </c>
      <c r="B47" s="16">
        <f t="shared" si="9"/>
        <v>0</v>
      </c>
      <c r="C47" s="82">
        <v>0</v>
      </c>
      <c r="D47" s="82">
        <v>0</v>
      </c>
      <c r="E47" s="82">
        <v>0</v>
      </c>
      <c r="F47" s="82">
        <v>0</v>
      </c>
      <c r="G47" s="82">
        <v>0</v>
      </c>
      <c r="H47" s="82">
        <v>0</v>
      </c>
      <c r="I47" s="82">
        <v>0</v>
      </c>
      <c r="J47" s="82">
        <v>0</v>
      </c>
      <c r="K47" s="82">
        <v>0</v>
      </c>
      <c r="L47" s="82">
        <v>0</v>
      </c>
      <c r="M47" s="82">
        <v>0</v>
      </c>
      <c r="N47" s="82">
        <v>0</v>
      </c>
    </row>
    <row r="48" spans="1:14" ht="30" x14ac:dyDescent="0.25">
      <c r="A48" s="71" t="s">
        <v>185</v>
      </c>
      <c r="B48" s="16">
        <f t="shared" si="9"/>
        <v>0</v>
      </c>
      <c r="C48" s="82">
        <v>0</v>
      </c>
      <c r="D48" s="82">
        <v>0</v>
      </c>
      <c r="E48" s="82">
        <v>0</v>
      </c>
      <c r="F48" s="82">
        <v>0</v>
      </c>
      <c r="G48" s="82">
        <v>0</v>
      </c>
      <c r="H48" s="82">
        <v>0</v>
      </c>
      <c r="I48" s="82">
        <v>0</v>
      </c>
      <c r="J48" s="82">
        <v>0</v>
      </c>
      <c r="K48" s="82">
        <v>0</v>
      </c>
      <c r="L48" s="82">
        <v>0</v>
      </c>
      <c r="M48" s="82">
        <v>0</v>
      </c>
      <c r="N48" s="82">
        <v>0</v>
      </c>
    </row>
    <row r="49" spans="1:14" ht="30" x14ac:dyDescent="0.25">
      <c r="A49" s="71" t="s">
        <v>186</v>
      </c>
      <c r="B49" s="16">
        <f t="shared" si="9"/>
        <v>0</v>
      </c>
      <c r="C49" s="82">
        <v>0</v>
      </c>
      <c r="D49" s="82">
        <v>0</v>
      </c>
      <c r="E49" s="82">
        <v>0</v>
      </c>
      <c r="F49" s="82">
        <v>0</v>
      </c>
      <c r="G49" s="82">
        <v>0</v>
      </c>
      <c r="H49" s="82">
        <v>0</v>
      </c>
      <c r="I49" s="82">
        <v>0</v>
      </c>
      <c r="J49" s="82">
        <v>0</v>
      </c>
      <c r="K49" s="82">
        <v>0</v>
      </c>
      <c r="L49" s="82">
        <v>0</v>
      </c>
      <c r="M49" s="82">
        <v>0</v>
      </c>
      <c r="N49" s="82">
        <v>0</v>
      </c>
    </row>
    <row r="50" spans="1:14" ht="30" x14ac:dyDescent="0.25">
      <c r="A50" s="71" t="s">
        <v>187</v>
      </c>
      <c r="B50" s="16">
        <f>SUM(C50:N50)</f>
        <v>0</v>
      </c>
      <c r="C50" s="82">
        <v>0</v>
      </c>
      <c r="D50" s="82">
        <v>0</v>
      </c>
      <c r="E50" s="82">
        <v>0</v>
      </c>
      <c r="F50" s="82">
        <v>0</v>
      </c>
      <c r="G50" s="82">
        <v>0</v>
      </c>
      <c r="H50" s="82">
        <v>0</v>
      </c>
      <c r="I50" s="82">
        <v>0</v>
      </c>
      <c r="J50" s="82">
        <v>0</v>
      </c>
      <c r="K50" s="82">
        <v>0</v>
      </c>
      <c r="L50" s="82">
        <v>0</v>
      </c>
      <c r="M50" s="82">
        <v>0</v>
      </c>
      <c r="N50" s="82">
        <v>0</v>
      </c>
    </row>
    <row r="51" spans="1:14" ht="30" x14ac:dyDescent="0.25">
      <c r="A51" s="68" t="s">
        <v>188</v>
      </c>
      <c r="B51" s="80">
        <f>SUM(C51:N51)</f>
        <v>6200919.669999999</v>
      </c>
      <c r="C51" s="81">
        <f>SUM(C52:C60)</f>
        <v>236075</v>
      </c>
      <c r="D51" s="81">
        <f t="shared" ref="D51:N51" si="10">SUM(D52:D60)</f>
        <v>622839.15</v>
      </c>
      <c r="E51" s="81">
        <f t="shared" si="10"/>
        <v>395773.1</v>
      </c>
      <c r="F51" s="81">
        <f t="shared" si="10"/>
        <v>1970989.22</v>
      </c>
      <c r="G51" s="81">
        <f t="shared" si="10"/>
        <v>1786760.5699999998</v>
      </c>
      <c r="H51" s="81">
        <f t="shared" si="10"/>
        <v>297379.89</v>
      </c>
      <c r="I51" s="81">
        <f t="shared" si="10"/>
        <v>641940.96</v>
      </c>
      <c r="J51" s="81">
        <f t="shared" si="10"/>
        <v>249161.78</v>
      </c>
      <c r="K51" s="81">
        <f t="shared" si="10"/>
        <v>0</v>
      </c>
      <c r="L51" s="81">
        <f t="shared" si="10"/>
        <v>0</v>
      </c>
      <c r="M51" s="81">
        <f t="shared" si="10"/>
        <v>0</v>
      </c>
      <c r="N51" s="81">
        <f t="shared" si="10"/>
        <v>0</v>
      </c>
    </row>
    <row r="52" spans="1:14" x14ac:dyDescent="0.25">
      <c r="A52" s="71" t="s">
        <v>189</v>
      </c>
      <c r="B52" s="16">
        <f t="shared" ref="B52:B60" si="11">SUM(C52:N52)</f>
        <v>2663835.1</v>
      </c>
      <c r="C52" s="82">
        <v>0</v>
      </c>
      <c r="D52" s="82">
        <v>128425</v>
      </c>
      <c r="E52" s="82">
        <v>0</v>
      </c>
      <c r="F52" s="82">
        <v>1095005.71</v>
      </c>
      <c r="G52" s="82">
        <f>1002144.5</f>
        <v>1002144.5</v>
      </c>
      <c r="H52" s="82">
        <v>229039.89</v>
      </c>
      <c r="I52" s="82">
        <v>209220</v>
      </c>
      <c r="J52" s="82">
        <v>0</v>
      </c>
      <c r="K52" s="82">
        <v>0</v>
      </c>
      <c r="L52" s="82">
        <v>0</v>
      </c>
      <c r="M52" s="82">
        <v>0</v>
      </c>
      <c r="N52" s="82">
        <v>0</v>
      </c>
    </row>
    <row r="53" spans="1:14" ht="30" x14ac:dyDescent="0.25">
      <c r="A53" s="71" t="s">
        <v>190</v>
      </c>
      <c r="B53" s="16">
        <f t="shared" si="11"/>
        <v>63506.51</v>
      </c>
      <c r="C53" s="82">
        <v>0</v>
      </c>
      <c r="D53" s="82">
        <v>0</v>
      </c>
      <c r="E53" s="82">
        <v>0</v>
      </c>
      <c r="F53" s="82">
        <v>63506.51</v>
      </c>
      <c r="G53" s="82">
        <v>0</v>
      </c>
      <c r="H53" s="82">
        <v>0</v>
      </c>
      <c r="I53" s="82">
        <v>0</v>
      </c>
      <c r="J53" s="82">
        <v>0</v>
      </c>
      <c r="K53" s="82">
        <v>0</v>
      </c>
      <c r="L53" s="82">
        <v>0</v>
      </c>
      <c r="M53" s="82">
        <v>0</v>
      </c>
      <c r="N53" s="82">
        <v>0</v>
      </c>
    </row>
    <row r="54" spans="1:14" ht="30" x14ac:dyDescent="0.25">
      <c r="A54" s="71" t="s">
        <v>191</v>
      </c>
      <c r="B54" s="16">
        <f t="shared" si="11"/>
        <v>2978278.0399999996</v>
      </c>
      <c r="C54" s="82">
        <v>236075</v>
      </c>
      <c r="D54" s="82">
        <v>394114.15</v>
      </c>
      <c r="E54" s="82">
        <v>159273.07999999999</v>
      </c>
      <c r="F54" s="82">
        <v>677477</v>
      </c>
      <c r="G54" s="82">
        <v>784616.07</v>
      </c>
      <c r="H54" s="82">
        <v>44840</v>
      </c>
      <c r="I54" s="82">
        <v>432720.96</v>
      </c>
      <c r="J54" s="82">
        <v>249161.78</v>
      </c>
      <c r="K54" s="82">
        <v>0</v>
      </c>
      <c r="L54" s="82">
        <v>0</v>
      </c>
      <c r="M54" s="82">
        <v>0</v>
      </c>
      <c r="N54" s="82">
        <v>0</v>
      </c>
    </row>
    <row r="55" spans="1:14" ht="30" x14ac:dyDescent="0.25">
      <c r="A55" s="71" t="s">
        <v>192</v>
      </c>
      <c r="B55" s="16">
        <f t="shared" si="11"/>
        <v>0</v>
      </c>
      <c r="C55" s="82">
        <v>0</v>
      </c>
      <c r="D55" s="82">
        <v>0</v>
      </c>
      <c r="E55" s="82">
        <v>0</v>
      </c>
      <c r="F55" s="82">
        <v>0</v>
      </c>
      <c r="G55" s="82">
        <v>0</v>
      </c>
      <c r="H55" s="82">
        <v>0</v>
      </c>
      <c r="I55" s="82">
        <v>0</v>
      </c>
      <c r="J55" s="82">
        <v>0</v>
      </c>
      <c r="K55" s="82">
        <v>0</v>
      </c>
      <c r="L55" s="82">
        <v>0</v>
      </c>
      <c r="M55" s="82">
        <v>0</v>
      </c>
      <c r="N55" s="82">
        <v>0</v>
      </c>
    </row>
    <row r="56" spans="1:14" ht="30" x14ac:dyDescent="0.25">
      <c r="A56" s="71" t="s">
        <v>193</v>
      </c>
      <c r="B56" s="16">
        <f t="shared" si="11"/>
        <v>495300.02</v>
      </c>
      <c r="C56" s="82">
        <v>0</v>
      </c>
      <c r="D56" s="82">
        <v>100300</v>
      </c>
      <c r="E56" s="82">
        <v>236500.02</v>
      </c>
      <c r="F56" s="82">
        <v>135000</v>
      </c>
      <c r="G56" s="82">
        <v>0</v>
      </c>
      <c r="H56" s="82">
        <v>23500</v>
      </c>
      <c r="I56" s="82">
        <v>0</v>
      </c>
      <c r="J56" s="82">
        <v>0</v>
      </c>
      <c r="K56" s="82">
        <v>0</v>
      </c>
      <c r="L56" s="82">
        <v>0</v>
      </c>
      <c r="M56" s="82">
        <v>0</v>
      </c>
      <c r="N56" s="82">
        <v>0</v>
      </c>
    </row>
    <row r="57" spans="1:14" ht="30" x14ac:dyDescent="0.25">
      <c r="A57" s="71" t="s">
        <v>194</v>
      </c>
      <c r="B57" s="16">
        <f>SUM(C57:N57)</f>
        <v>0</v>
      </c>
      <c r="C57" s="82">
        <v>0</v>
      </c>
      <c r="D57" s="82">
        <v>0</v>
      </c>
      <c r="E57" s="82">
        <v>0</v>
      </c>
      <c r="F57" s="82">
        <v>0</v>
      </c>
      <c r="G57" s="82">
        <v>0</v>
      </c>
      <c r="H57" s="82">
        <v>0</v>
      </c>
      <c r="I57" s="82">
        <v>0</v>
      </c>
      <c r="J57" s="82">
        <v>0</v>
      </c>
      <c r="K57" s="82">
        <v>0</v>
      </c>
      <c r="L57" s="82">
        <v>0</v>
      </c>
      <c r="M57" s="82">
        <v>0</v>
      </c>
      <c r="N57" s="82">
        <v>0</v>
      </c>
    </row>
    <row r="58" spans="1:14" ht="30" x14ac:dyDescent="0.25">
      <c r="A58" s="71" t="s">
        <v>195</v>
      </c>
      <c r="B58" s="16">
        <f t="shared" si="11"/>
        <v>0</v>
      </c>
      <c r="C58" s="82">
        <v>0</v>
      </c>
      <c r="D58" s="82">
        <v>0</v>
      </c>
      <c r="E58" s="82">
        <v>0</v>
      </c>
      <c r="F58" s="82">
        <v>0</v>
      </c>
      <c r="G58" s="82">
        <v>0</v>
      </c>
      <c r="H58" s="82">
        <v>0</v>
      </c>
      <c r="I58" s="82">
        <v>0</v>
      </c>
      <c r="J58" s="82">
        <v>0</v>
      </c>
      <c r="K58" s="82">
        <v>0</v>
      </c>
      <c r="L58" s="82">
        <v>0</v>
      </c>
      <c r="M58" s="82">
        <v>0</v>
      </c>
      <c r="N58" s="82">
        <v>0</v>
      </c>
    </row>
    <row r="59" spans="1:14" x14ac:dyDescent="0.25">
      <c r="A59" s="71" t="s">
        <v>196</v>
      </c>
      <c r="B59" s="16">
        <f t="shared" si="11"/>
        <v>0</v>
      </c>
      <c r="C59" s="82">
        <v>0</v>
      </c>
      <c r="D59" s="82">
        <v>0</v>
      </c>
      <c r="E59" s="82">
        <v>0</v>
      </c>
      <c r="F59" s="82">
        <v>0</v>
      </c>
      <c r="G59" s="82">
        <v>0</v>
      </c>
      <c r="H59" s="82">
        <v>0</v>
      </c>
      <c r="I59" s="82">
        <v>0</v>
      </c>
      <c r="J59" s="82">
        <v>0</v>
      </c>
      <c r="K59" s="82">
        <v>0</v>
      </c>
      <c r="L59" s="82">
        <v>0</v>
      </c>
      <c r="M59" s="82">
        <v>0</v>
      </c>
      <c r="N59" s="82">
        <v>0</v>
      </c>
    </row>
    <row r="60" spans="1:14" ht="45" x14ac:dyDescent="0.25">
      <c r="A60" s="71" t="s">
        <v>197</v>
      </c>
      <c r="B60" s="16">
        <f t="shared" si="11"/>
        <v>0</v>
      </c>
      <c r="C60" s="82">
        <v>0</v>
      </c>
      <c r="D60" s="82">
        <v>0</v>
      </c>
      <c r="E60" s="82">
        <v>0</v>
      </c>
      <c r="F60" s="82">
        <v>0</v>
      </c>
      <c r="G60" s="82">
        <v>0</v>
      </c>
      <c r="H60" s="82">
        <v>0</v>
      </c>
      <c r="I60" s="82">
        <v>0</v>
      </c>
      <c r="J60" s="82">
        <v>0</v>
      </c>
      <c r="K60" s="82">
        <v>0</v>
      </c>
      <c r="L60" s="82">
        <v>0</v>
      </c>
      <c r="M60" s="82">
        <v>0</v>
      </c>
      <c r="N60" s="82">
        <v>0</v>
      </c>
    </row>
    <row r="61" spans="1:14" x14ac:dyDescent="0.25">
      <c r="A61" s="68" t="s">
        <v>198</v>
      </c>
      <c r="B61" s="80">
        <f t="shared" ref="B61:B72" si="12">SUM(C61:N61)</f>
        <v>108560</v>
      </c>
      <c r="C61" s="81">
        <f>SUM(C62:C65)</f>
        <v>0</v>
      </c>
      <c r="D61" s="81">
        <f t="shared" ref="D61:N61" si="13">SUM(D62:D65)</f>
        <v>0</v>
      </c>
      <c r="E61" s="81">
        <f t="shared" si="13"/>
        <v>0</v>
      </c>
      <c r="F61" s="81">
        <f t="shared" si="13"/>
        <v>0</v>
      </c>
      <c r="G61" s="81">
        <f t="shared" si="13"/>
        <v>0</v>
      </c>
      <c r="H61" s="81">
        <f t="shared" si="13"/>
        <v>0</v>
      </c>
      <c r="I61" s="81">
        <f t="shared" si="13"/>
        <v>0</v>
      </c>
      <c r="J61" s="81">
        <f t="shared" si="13"/>
        <v>108560</v>
      </c>
      <c r="K61" s="81">
        <f t="shared" si="13"/>
        <v>0</v>
      </c>
      <c r="L61" s="81">
        <f t="shared" si="13"/>
        <v>0</v>
      </c>
      <c r="M61" s="81">
        <f t="shared" si="13"/>
        <v>0</v>
      </c>
      <c r="N61" s="81">
        <f t="shared" si="13"/>
        <v>0</v>
      </c>
    </row>
    <row r="62" spans="1:14" x14ac:dyDescent="0.25">
      <c r="A62" s="71" t="s">
        <v>199</v>
      </c>
      <c r="B62" s="16">
        <f t="shared" si="12"/>
        <v>108560</v>
      </c>
      <c r="C62" s="82">
        <v>0</v>
      </c>
      <c r="D62" s="82">
        <v>0</v>
      </c>
      <c r="E62" s="82">
        <v>0</v>
      </c>
      <c r="F62" s="82">
        <v>0</v>
      </c>
      <c r="G62" s="82">
        <v>0</v>
      </c>
      <c r="H62" s="82">
        <v>0</v>
      </c>
      <c r="I62" s="82">
        <v>0</v>
      </c>
      <c r="J62" s="82">
        <v>108560</v>
      </c>
      <c r="K62" s="82">
        <v>0</v>
      </c>
      <c r="L62" s="82">
        <v>0</v>
      </c>
      <c r="M62" s="82">
        <v>0</v>
      </c>
      <c r="N62" s="82">
        <v>0</v>
      </c>
    </row>
    <row r="63" spans="1:14" x14ac:dyDescent="0.25">
      <c r="A63" s="71" t="s">
        <v>200</v>
      </c>
      <c r="B63" s="16">
        <f t="shared" si="12"/>
        <v>0</v>
      </c>
      <c r="C63" s="82">
        <v>0</v>
      </c>
      <c r="D63" s="82">
        <v>0</v>
      </c>
      <c r="E63" s="82">
        <v>0</v>
      </c>
      <c r="F63" s="82">
        <v>0</v>
      </c>
      <c r="G63" s="82">
        <v>0</v>
      </c>
      <c r="H63" s="82">
        <v>0</v>
      </c>
      <c r="I63" s="82">
        <v>0</v>
      </c>
      <c r="J63" s="82">
        <v>0</v>
      </c>
      <c r="K63" s="82">
        <v>0</v>
      </c>
      <c r="L63" s="82">
        <v>0</v>
      </c>
      <c r="M63" s="82">
        <v>0</v>
      </c>
      <c r="N63" s="82">
        <v>0</v>
      </c>
    </row>
    <row r="64" spans="1:14" ht="30" x14ac:dyDescent="0.25">
      <c r="A64" s="71" t="s">
        <v>201</v>
      </c>
      <c r="B64" s="16">
        <f t="shared" si="12"/>
        <v>0</v>
      </c>
      <c r="C64" s="82">
        <v>0</v>
      </c>
      <c r="D64" s="82">
        <v>0</v>
      </c>
      <c r="E64" s="82">
        <v>0</v>
      </c>
      <c r="F64" s="82">
        <v>0</v>
      </c>
      <c r="G64" s="82">
        <v>0</v>
      </c>
      <c r="H64" s="82">
        <v>0</v>
      </c>
      <c r="I64" s="82">
        <v>0</v>
      </c>
      <c r="J64" s="82">
        <v>0</v>
      </c>
      <c r="K64" s="82">
        <v>0</v>
      </c>
      <c r="L64" s="82">
        <v>0</v>
      </c>
      <c r="M64" s="82">
        <v>0</v>
      </c>
      <c r="N64" s="82">
        <v>0</v>
      </c>
    </row>
    <row r="65" spans="1:14" ht="45" x14ac:dyDescent="0.25">
      <c r="A65" s="71" t="s">
        <v>202</v>
      </c>
      <c r="B65" s="16">
        <f t="shared" si="12"/>
        <v>0</v>
      </c>
      <c r="C65" s="82">
        <v>0</v>
      </c>
      <c r="D65" s="82">
        <v>0</v>
      </c>
      <c r="E65" s="82">
        <v>0</v>
      </c>
      <c r="F65" s="82">
        <v>0</v>
      </c>
      <c r="G65" s="82">
        <v>0</v>
      </c>
      <c r="H65" s="82">
        <v>0</v>
      </c>
      <c r="I65" s="82">
        <v>0</v>
      </c>
      <c r="J65" s="82">
        <v>0</v>
      </c>
      <c r="K65" s="82">
        <v>0</v>
      </c>
      <c r="L65" s="82">
        <v>0</v>
      </c>
      <c r="M65" s="82">
        <v>0</v>
      </c>
      <c r="N65" s="82">
        <v>0</v>
      </c>
    </row>
    <row r="66" spans="1:14" ht="30" x14ac:dyDescent="0.25">
      <c r="A66" s="68" t="s">
        <v>203</v>
      </c>
      <c r="B66" s="80">
        <f t="shared" si="12"/>
        <v>0</v>
      </c>
      <c r="C66" s="81">
        <f>SUM(C67:C68)</f>
        <v>0</v>
      </c>
      <c r="D66" s="81">
        <f t="shared" ref="D66:N66" si="14">SUM(D67:D68)</f>
        <v>0</v>
      </c>
      <c r="E66" s="81">
        <f t="shared" si="14"/>
        <v>0</v>
      </c>
      <c r="F66" s="81">
        <f t="shared" si="14"/>
        <v>0</v>
      </c>
      <c r="G66" s="81">
        <f t="shared" si="14"/>
        <v>0</v>
      </c>
      <c r="H66" s="81">
        <f t="shared" si="14"/>
        <v>0</v>
      </c>
      <c r="I66" s="81">
        <f t="shared" si="14"/>
        <v>0</v>
      </c>
      <c r="J66" s="81">
        <f t="shared" si="14"/>
        <v>0</v>
      </c>
      <c r="K66" s="81">
        <f t="shared" si="14"/>
        <v>0</v>
      </c>
      <c r="L66" s="81">
        <f t="shared" si="14"/>
        <v>0</v>
      </c>
      <c r="M66" s="81">
        <f t="shared" si="14"/>
        <v>0</v>
      </c>
      <c r="N66" s="81">
        <f t="shared" si="14"/>
        <v>0</v>
      </c>
    </row>
    <row r="67" spans="1:14" x14ac:dyDescent="0.25">
      <c r="A67" s="71" t="s">
        <v>204</v>
      </c>
      <c r="B67" s="16">
        <f t="shared" si="12"/>
        <v>0</v>
      </c>
      <c r="C67" s="82">
        <v>0</v>
      </c>
      <c r="D67" s="82"/>
      <c r="E67" s="82"/>
      <c r="F67" s="82"/>
      <c r="G67" s="82"/>
      <c r="H67" s="82"/>
      <c r="I67" s="82"/>
      <c r="J67" s="82"/>
      <c r="K67" s="82"/>
      <c r="L67" s="82"/>
      <c r="M67" s="82">
        <v>0</v>
      </c>
      <c r="N67" s="82">
        <v>0</v>
      </c>
    </row>
    <row r="68" spans="1:14" ht="30" x14ac:dyDescent="0.25">
      <c r="A68" s="71" t="s">
        <v>205</v>
      </c>
      <c r="B68" s="16">
        <f t="shared" si="12"/>
        <v>0</v>
      </c>
      <c r="C68" s="82">
        <v>0</v>
      </c>
      <c r="D68" s="82">
        <v>0</v>
      </c>
      <c r="E68" s="82">
        <v>0</v>
      </c>
      <c r="F68" s="82">
        <v>0</v>
      </c>
      <c r="G68" s="82">
        <v>0</v>
      </c>
      <c r="H68" s="82">
        <v>0</v>
      </c>
      <c r="I68" s="82">
        <v>0</v>
      </c>
      <c r="J68" s="82">
        <v>0</v>
      </c>
      <c r="K68" s="82">
        <v>0</v>
      </c>
      <c r="L68" s="82">
        <v>0</v>
      </c>
      <c r="M68" s="82">
        <v>0</v>
      </c>
      <c r="N68" s="82">
        <v>0</v>
      </c>
    </row>
    <row r="69" spans="1:14" x14ac:dyDescent="0.25">
      <c r="A69" s="68" t="s">
        <v>206</v>
      </c>
      <c r="B69" s="80">
        <f t="shared" si="12"/>
        <v>72098.42</v>
      </c>
      <c r="C69" s="81">
        <f>SUM(C70:C72)</f>
        <v>8469.43</v>
      </c>
      <c r="D69" s="81">
        <f t="shared" ref="D69:N69" si="15">SUM(D70:D72)</f>
        <v>9781.64</v>
      </c>
      <c r="E69" s="81">
        <f t="shared" si="15"/>
        <v>8621.76</v>
      </c>
      <c r="F69" s="81">
        <f t="shared" si="15"/>
        <v>12067.81</v>
      </c>
      <c r="G69" s="81">
        <f t="shared" si="15"/>
        <v>9327.33</v>
      </c>
      <c r="H69" s="81">
        <f t="shared" si="15"/>
        <v>10072.379999999999</v>
      </c>
      <c r="I69" s="81">
        <f t="shared" si="15"/>
        <v>7739.19</v>
      </c>
      <c r="J69" s="81">
        <f t="shared" si="15"/>
        <v>6018.88</v>
      </c>
      <c r="K69" s="81">
        <f t="shared" si="15"/>
        <v>0</v>
      </c>
      <c r="L69" s="81">
        <f t="shared" si="15"/>
        <v>0</v>
      </c>
      <c r="M69" s="81">
        <f t="shared" si="15"/>
        <v>0</v>
      </c>
      <c r="N69" s="81">
        <f t="shared" si="15"/>
        <v>0</v>
      </c>
    </row>
    <row r="70" spans="1:14" ht="30" x14ac:dyDescent="0.25">
      <c r="A70" s="71" t="s">
        <v>207</v>
      </c>
      <c r="B70" s="16">
        <f t="shared" si="12"/>
        <v>0</v>
      </c>
      <c r="C70" s="82">
        <v>0</v>
      </c>
      <c r="D70" s="82">
        <v>0</v>
      </c>
      <c r="E70" s="82">
        <v>0</v>
      </c>
      <c r="F70" s="82">
        <v>0</v>
      </c>
      <c r="G70" s="82">
        <v>0</v>
      </c>
      <c r="H70" s="82">
        <v>0</v>
      </c>
      <c r="I70" s="82">
        <v>0</v>
      </c>
      <c r="J70" s="82">
        <v>0</v>
      </c>
      <c r="K70" s="82">
        <v>0</v>
      </c>
      <c r="L70" s="82">
        <v>0</v>
      </c>
      <c r="M70" s="82">
        <v>0</v>
      </c>
      <c r="N70" s="82">
        <v>0</v>
      </c>
    </row>
    <row r="71" spans="1:14" ht="30" x14ac:dyDescent="0.25">
      <c r="A71" s="71" t="s">
        <v>208</v>
      </c>
      <c r="B71" s="16">
        <f t="shared" si="12"/>
        <v>0</v>
      </c>
      <c r="C71" s="82">
        <v>0</v>
      </c>
      <c r="D71" s="82">
        <v>0</v>
      </c>
      <c r="E71" s="82">
        <v>0</v>
      </c>
      <c r="F71" s="82">
        <v>0</v>
      </c>
      <c r="G71" s="82">
        <v>0</v>
      </c>
      <c r="H71" s="82">
        <v>0</v>
      </c>
      <c r="I71" s="82">
        <v>0</v>
      </c>
      <c r="J71" s="82">
        <v>0</v>
      </c>
      <c r="K71" s="82">
        <v>0</v>
      </c>
      <c r="L71" s="82">
        <v>0</v>
      </c>
      <c r="M71" s="82">
        <v>0</v>
      </c>
      <c r="N71" s="82">
        <v>0</v>
      </c>
    </row>
    <row r="72" spans="1:14" ht="30" x14ac:dyDescent="0.25">
      <c r="A72" s="71" t="s">
        <v>209</v>
      </c>
      <c r="B72" s="16">
        <f t="shared" si="12"/>
        <v>72098.42</v>
      </c>
      <c r="C72" s="82">
        <v>8469.43</v>
      </c>
      <c r="D72" s="82">
        <v>9781.64</v>
      </c>
      <c r="E72" s="82">
        <v>8621.76</v>
      </c>
      <c r="F72" s="82">
        <v>12067.81</v>
      </c>
      <c r="G72" s="82">
        <f>9327.33</f>
        <v>9327.33</v>
      </c>
      <c r="H72" s="82">
        <v>10072.379999999999</v>
      </c>
      <c r="I72" s="82">
        <v>7739.19</v>
      </c>
      <c r="J72" s="82">
        <v>6018.88</v>
      </c>
      <c r="K72" s="82">
        <v>0</v>
      </c>
      <c r="L72" s="82">
        <v>0</v>
      </c>
      <c r="M72" s="82">
        <v>0</v>
      </c>
      <c r="N72" s="82">
        <v>0</v>
      </c>
    </row>
    <row r="73" spans="1:14" x14ac:dyDescent="0.25">
      <c r="A73" s="83" t="s">
        <v>210</v>
      </c>
      <c r="B73" s="84">
        <f>B9+B15+B25+B35+B43+B51+B61+B66+B69</f>
        <v>47469298.640000001</v>
      </c>
      <c r="C73" s="84">
        <f t="shared" ref="C73:N73" si="16">C9+C15+C25+C35+C43+C51+C61+C66+C69</f>
        <v>5692571.8399999999</v>
      </c>
      <c r="D73" s="84">
        <f t="shared" si="16"/>
        <v>6573343.2799999993</v>
      </c>
      <c r="E73" s="84">
        <f t="shared" si="16"/>
        <v>8998607.7799999993</v>
      </c>
      <c r="F73" s="84">
        <f t="shared" si="16"/>
        <v>4499744.5299999993</v>
      </c>
      <c r="G73" s="84">
        <f t="shared" si="16"/>
        <v>6196573.9399999995</v>
      </c>
      <c r="H73" s="84">
        <f t="shared" si="16"/>
        <v>6728821.7300000004</v>
      </c>
      <c r="I73" s="84">
        <f t="shared" si="16"/>
        <v>4991870.0500000007</v>
      </c>
      <c r="J73" s="84">
        <f t="shared" si="16"/>
        <v>3787765.4899999998</v>
      </c>
      <c r="K73" s="84">
        <f t="shared" si="16"/>
        <v>0</v>
      </c>
      <c r="L73" s="84">
        <f t="shared" si="16"/>
        <v>0</v>
      </c>
      <c r="M73" s="84">
        <f t="shared" si="16"/>
        <v>0</v>
      </c>
      <c r="N73" s="84">
        <f t="shared" si="16"/>
        <v>0</v>
      </c>
    </row>
    <row r="74" spans="1:14" x14ac:dyDescent="0.25">
      <c r="A74" s="66" t="s">
        <v>211</v>
      </c>
      <c r="B74" s="88"/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</row>
    <row r="75" spans="1:14" ht="30" x14ac:dyDescent="0.25">
      <c r="A75" s="66" t="s">
        <v>212</v>
      </c>
      <c r="B75" s="11"/>
      <c r="C75" s="88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1:14" ht="30" x14ac:dyDescent="0.25">
      <c r="A76" s="71" t="s">
        <v>213</v>
      </c>
      <c r="B76" s="11"/>
      <c r="C76" s="89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1:14" ht="30" x14ac:dyDescent="0.25">
      <c r="A77" s="71" t="s">
        <v>214</v>
      </c>
      <c r="B77" s="11"/>
      <c r="C77" s="89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1:14" x14ac:dyDescent="0.25">
      <c r="A78" s="66" t="s">
        <v>215</v>
      </c>
      <c r="B78" s="11"/>
      <c r="C78" s="88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1:14" ht="30" x14ac:dyDescent="0.25">
      <c r="A79" s="71" t="s">
        <v>216</v>
      </c>
      <c r="B79" s="11"/>
      <c r="C79" s="89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1:14" ht="30" x14ac:dyDescent="0.25">
      <c r="A80" s="71" t="s">
        <v>217</v>
      </c>
      <c r="B80" s="11"/>
      <c r="C80" s="89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1:14" ht="30" x14ac:dyDescent="0.25">
      <c r="A81" s="66" t="s">
        <v>218</v>
      </c>
      <c r="B81" s="11"/>
      <c r="C81" s="88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1:14" ht="30" x14ac:dyDescent="0.25">
      <c r="A82" s="71" t="s">
        <v>219</v>
      </c>
      <c r="B82" s="11"/>
      <c r="C82" s="89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4" x14ac:dyDescent="0.25">
      <c r="A83" s="83" t="s">
        <v>220</v>
      </c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</row>
    <row r="84" spans="1:14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1:14" ht="31.5" x14ac:dyDescent="0.25">
      <c r="A85" s="86" t="s">
        <v>221</v>
      </c>
      <c r="B85" s="91"/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</row>
    <row r="86" spans="1:14" x14ac:dyDescent="0.25">
      <c r="A86" t="s">
        <v>234</v>
      </c>
    </row>
    <row r="87" spans="1:14" x14ac:dyDescent="0.25">
      <c r="A87" t="s">
        <v>235</v>
      </c>
    </row>
    <row r="88" spans="1:14" x14ac:dyDescent="0.25">
      <c r="A88" t="s">
        <v>236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V22"/>
  <sheetViews>
    <sheetView zoomScaleNormal="100" workbookViewId="0">
      <selection activeCell="A6" sqref="A6"/>
    </sheetView>
  </sheetViews>
  <sheetFormatPr baseColWidth="10" defaultRowHeight="15" x14ac:dyDescent="0.25"/>
  <cols>
    <col min="1" max="1" width="4.140625" customWidth="1"/>
    <col min="2" max="2" width="13.28515625" customWidth="1"/>
    <col min="3" max="3" width="14.42578125" customWidth="1"/>
    <col min="4" max="4" width="14" customWidth="1"/>
    <col min="5" max="5" width="17.28515625" customWidth="1"/>
    <col min="6" max="6" width="13.42578125" customWidth="1"/>
    <col min="8" max="8" width="13.42578125" customWidth="1"/>
    <col min="10" max="10" width="17.5703125" customWidth="1"/>
    <col min="11" max="11" width="11.85546875" customWidth="1"/>
    <col min="12" max="22" width="0" hidden="1" customWidth="1"/>
  </cols>
  <sheetData>
    <row r="2" spans="1:22" ht="23.25" x14ac:dyDescent="0.25">
      <c r="A2" s="841" t="s">
        <v>23</v>
      </c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1"/>
      <c r="P2" s="841"/>
      <c r="Q2" s="841"/>
      <c r="R2" s="841"/>
      <c r="S2" s="841"/>
      <c r="T2" s="841"/>
      <c r="U2" s="841"/>
      <c r="V2" s="841"/>
    </row>
    <row r="3" spans="1:22" ht="23.25" x14ac:dyDescent="0.25">
      <c r="A3" s="842" t="s">
        <v>375</v>
      </c>
      <c r="B3" s="842"/>
      <c r="C3" s="842"/>
      <c r="D3" s="842"/>
      <c r="E3" s="842"/>
      <c r="F3" s="842"/>
      <c r="G3" s="842"/>
      <c r="H3" s="842"/>
      <c r="I3" s="842"/>
      <c r="J3" s="842"/>
      <c r="K3" s="842"/>
      <c r="L3" s="842"/>
      <c r="M3" s="842"/>
      <c r="N3" s="842"/>
      <c r="O3" s="842"/>
      <c r="P3" s="842"/>
      <c r="Q3" s="842"/>
      <c r="R3" s="842"/>
      <c r="S3" s="842"/>
      <c r="T3" s="842"/>
      <c r="U3" s="842"/>
      <c r="V3" s="842"/>
    </row>
    <row r="4" spans="1:22" x14ac:dyDescent="0.25">
      <c r="A4" s="843" t="s">
        <v>376</v>
      </c>
      <c r="B4" s="843"/>
      <c r="C4" s="843"/>
      <c r="D4" s="843"/>
      <c r="E4" s="843"/>
      <c r="F4" s="843"/>
      <c r="G4" s="843"/>
      <c r="H4" s="843"/>
      <c r="I4" s="843"/>
      <c r="J4" s="843"/>
      <c r="K4" s="843"/>
      <c r="L4" s="843"/>
      <c r="M4" s="843"/>
      <c r="N4" s="843"/>
      <c r="O4" s="843"/>
      <c r="P4" s="843"/>
      <c r="Q4" s="843"/>
      <c r="R4" s="843"/>
      <c r="S4" s="843"/>
      <c r="T4" s="843"/>
      <c r="U4" s="843"/>
      <c r="V4" s="843"/>
    </row>
    <row r="5" spans="1:22" x14ac:dyDescent="0.25">
      <c r="A5" s="844" t="s">
        <v>739</v>
      </c>
      <c r="B5" s="844"/>
      <c r="C5" s="844"/>
      <c r="D5" s="844"/>
      <c r="E5" s="844"/>
      <c r="F5" s="844"/>
      <c r="G5" s="844"/>
      <c r="H5" s="844"/>
      <c r="I5" s="844"/>
      <c r="J5" s="844"/>
      <c r="K5" s="844"/>
      <c r="L5" s="844"/>
      <c r="M5" s="844"/>
      <c r="N5" s="844"/>
      <c r="O5" s="844"/>
      <c r="P5" s="844"/>
      <c r="Q5" s="844"/>
      <c r="R5" s="844"/>
      <c r="S5" s="844"/>
      <c r="T5" s="844"/>
      <c r="U5" s="844"/>
      <c r="V5" s="844"/>
    </row>
    <row r="6" spans="1:22" ht="15.75" thickBot="1" x14ac:dyDescent="0.3">
      <c r="A6" s="265"/>
      <c r="B6" s="265"/>
      <c r="C6" s="265"/>
      <c r="D6" s="265"/>
      <c r="E6" s="265"/>
      <c r="F6" s="265"/>
      <c r="G6" s="265"/>
      <c r="H6" s="265"/>
      <c r="I6" s="265"/>
      <c r="J6" s="266"/>
      <c r="K6" s="266"/>
      <c r="L6" s="266"/>
      <c r="M6" s="266"/>
      <c r="N6" s="266"/>
      <c r="O6" s="266"/>
      <c r="P6" s="266"/>
      <c r="Q6" s="266"/>
      <c r="R6" s="266"/>
      <c r="S6" s="266"/>
      <c r="T6" s="266"/>
      <c r="U6" s="266"/>
      <c r="V6" s="266"/>
    </row>
    <row r="7" spans="1:22" ht="15" customHeight="1" x14ac:dyDescent="0.25">
      <c r="A7" s="845" t="s">
        <v>377</v>
      </c>
      <c r="B7" s="848" t="s">
        <v>378</v>
      </c>
      <c r="C7" s="848" t="s">
        <v>379</v>
      </c>
      <c r="D7" s="848" t="s">
        <v>380</v>
      </c>
      <c r="E7" s="851" t="s">
        <v>381</v>
      </c>
      <c r="F7" s="851" t="s">
        <v>382</v>
      </c>
      <c r="G7" s="851" t="s">
        <v>383</v>
      </c>
      <c r="H7" s="267" t="s">
        <v>384</v>
      </c>
      <c r="I7" s="848" t="s">
        <v>385</v>
      </c>
      <c r="J7" s="848"/>
      <c r="K7" s="854" t="s">
        <v>386</v>
      </c>
      <c r="L7" s="857" t="s">
        <v>387</v>
      </c>
      <c r="M7" s="858"/>
      <c r="N7" s="858"/>
      <c r="O7" s="858"/>
      <c r="P7" s="858"/>
      <c r="Q7" s="858"/>
      <c r="R7" s="858"/>
      <c r="S7" s="839" t="s">
        <v>388</v>
      </c>
      <c r="T7" s="839"/>
      <c r="U7" s="839" t="s">
        <v>389</v>
      </c>
      <c r="V7" s="839" t="s">
        <v>390</v>
      </c>
    </row>
    <row r="8" spans="1:22" ht="15" customHeight="1" x14ac:dyDescent="0.25">
      <c r="A8" s="846"/>
      <c r="B8" s="849"/>
      <c r="C8" s="849"/>
      <c r="D8" s="849"/>
      <c r="E8" s="852"/>
      <c r="F8" s="852"/>
      <c r="G8" s="852"/>
      <c r="H8" s="268" t="s">
        <v>391</v>
      </c>
      <c r="I8" s="849"/>
      <c r="J8" s="849"/>
      <c r="K8" s="855"/>
      <c r="L8" s="840" t="s">
        <v>392</v>
      </c>
      <c r="M8" s="839"/>
      <c r="N8" s="839" t="s">
        <v>393</v>
      </c>
      <c r="O8" s="839" t="s">
        <v>394</v>
      </c>
      <c r="P8" s="839"/>
      <c r="Q8" s="839" t="s">
        <v>395</v>
      </c>
      <c r="R8" s="839" t="s">
        <v>396</v>
      </c>
      <c r="S8" s="839" t="s">
        <v>397</v>
      </c>
      <c r="T8" s="839" t="s">
        <v>398</v>
      </c>
      <c r="U8" s="839"/>
      <c r="V8" s="839"/>
    </row>
    <row r="9" spans="1:22" ht="26.25" thickBot="1" x14ac:dyDescent="0.3">
      <c r="A9" s="847"/>
      <c r="B9" s="850"/>
      <c r="C9" s="850"/>
      <c r="D9" s="850"/>
      <c r="E9" s="853"/>
      <c r="F9" s="853"/>
      <c r="G9" s="853"/>
      <c r="H9" s="269"/>
      <c r="I9" s="270" t="s">
        <v>399</v>
      </c>
      <c r="J9" s="270" t="s">
        <v>400</v>
      </c>
      <c r="K9" s="856"/>
      <c r="L9" s="271" t="s">
        <v>401</v>
      </c>
      <c r="M9" s="272" t="s">
        <v>402</v>
      </c>
      <c r="N9" s="839"/>
      <c r="O9" s="272" t="s">
        <v>403</v>
      </c>
      <c r="P9" s="272" t="s">
        <v>404</v>
      </c>
      <c r="Q9" s="839"/>
      <c r="R9" s="839"/>
      <c r="S9" s="839"/>
      <c r="T9" s="839"/>
      <c r="U9" s="839"/>
      <c r="V9" s="839"/>
    </row>
    <row r="10" spans="1:22" ht="15.75" thickBot="1" x14ac:dyDescent="0.3">
      <c r="A10" s="273">
        <v>1</v>
      </c>
      <c r="B10" s="274"/>
      <c r="C10" s="274"/>
      <c r="D10" s="275"/>
      <c r="E10" s="276"/>
      <c r="F10" s="274"/>
      <c r="G10" s="277"/>
      <c r="H10" s="277"/>
      <c r="I10" s="278"/>
      <c r="J10" s="278"/>
      <c r="K10" s="279"/>
      <c r="L10" s="280"/>
      <c r="M10" s="281"/>
      <c r="N10" s="282"/>
      <c r="O10" s="281"/>
      <c r="P10" s="281"/>
      <c r="Q10" s="281"/>
      <c r="R10" s="281"/>
      <c r="S10" s="281"/>
      <c r="T10" s="281"/>
      <c r="U10" s="281"/>
      <c r="V10" s="283"/>
    </row>
    <row r="11" spans="1:22" ht="15.75" thickBot="1" x14ac:dyDescent="0.3">
      <c r="A11" s="284"/>
      <c r="B11" s="285"/>
      <c r="C11" s="285"/>
      <c r="D11" s="285"/>
      <c r="E11" s="285"/>
      <c r="F11" s="285"/>
      <c r="G11" s="285"/>
      <c r="H11" s="285"/>
      <c r="I11" s="285"/>
      <c r="J11" s="285" t="s">
        <v>405</v>
      </c>
      <c r="K11" s="286">
        <f t="shared" ref="K11:U11" si="0">SUM(K10:K10)</f>
        <v>0</v>
      </c>
      <c r="L11" s="287">
        <f t="shared" si="0"/>
        <v>0</v>
      </c>
      <c r="M11" s="288">
        <f t="shared" si="0"/>
        <v>0</v>
      </c>
      <c r="N11" s="288">
        <f t="shared" si="0"/>
        <v>0</v>
      </c>
      <c r="O11" s="288">
        <f t="shared" si="0"/>
        <v>0</v>
      </c>
      <c r="P11" s="288">
        <f t="shared" si="0"/>
        <v>0</v>
      </c>
      <c r="Q11" s="288">
        <f t="shared" si="0"/>
        <v>0</v>
      </c>
      <c r="R11" s="288">
        <f t="shared" si="0"/>
        <v>0</v>
      </c>
      <c r="S11" s="288">
        <f t="shared" si="0"/>
        <v>0</v>
      </c>
      <c r="T11" s="288">
        <f t="shared" si="0"/>
        <v>0</v>
      </c>
      <c r="U11" s="288">
        <f t="shared" si="0"/>
        <v>0</v>
      </c>
      <c r="V11" s="288"/>
    </row>
    <row r="12" spans="1:22" x14ac:dyDescent="0.25">
      <c r="A12" s="265"/>
      <c r="B12" s="265"/>
      <c r="C12" s="265"/>
      <c r="D12" s="265"/>
      <c r="E12" s="265"/>
      <c r="F12" s="265"/>
      <c r="G12" s="265"/>
      <c r="H12" s="265"/>
      <c r="I12" s="265"/>
      <c r="J12" s="265"/>
      <c r="K12" s="265"/>
      <c r="L12" s="265"/>
      <c r="M12" s="265"/>
      <c r="N12" s="265"/>
      <c r="O12" s="265"/>
      <c r="P12" s="265"/>
      <c r="Q12" s="265"/>
      <c r="R12" s="265"/>
      <c r="S12" s="265"/>
      <c r="T12" s="265"/>
      <c r="U12" s="265"/>
      <c r="V12" s="265"/>
    </row>
    <row r="13" spans="1:22" x14ac:dyDescent="0.25">
      <c r="A13" s="265"/>
      <c r="B13" s="289" t="s">
        <v>406</v>
      </c>
      <c r="C13" s="265"/>
      <c r="D13" s="265"/>
      <c r="E13" s="265"/>
      <c r="F13" s="265"/>
      <c r="G13" s="265"/>
      <c r="H13" s="265"/>
      <c r="I13" s="265"/>
      <c r="J13" s="265"/>
      <c r="K13" s="265"/>
      <c r="L13" s="265"/>
      <c r="M13" s="265"/>
      <c r="N13" s="265"/>
      <c r="O13" s="265"/>
      <c r="P13" s="265"/>
      <c r="Q13" s="265"/>
      <c r="R13" s="265"/>
      <c r="S13" s="265"/>
      <c r="T13" s="265"/>
      <c r="U13" s="265"/>
      <c r="V13" s="265"/>
    </row>
    <row r="14" spans="1:22" x14ac:dyDescent="0.25">
      <c r="A14" s="265"/>
      <c r="B14" s="265"/>
      <c r="C14" s="265"/>
      <c r="D14" s="265"/>
      <c r="E14" s="265"/>
      <c r="F14" s="265"/>
      <c r="G14" s="265"/>
      <c r="H14" s="265"/>
      <c r="I14" s="265"/>
      <c r="J14" s="265"/>
      <c r="K14" s="265"/>
      <c r="L14" s="265"/>
      <c r="M14" s="265"/>
      <c r="N14" s="265"/>
      <c r="O14" s="265"/>
      <c r="P14" s="265"/>
      <c r="Q14" s="265"/>
      <c r="R14" s="265"/>
      <c r="S14" s="265"/>
      <c r="T14" s="265"/>
      <c r="U14" s="265"/>
      <c r="V14" s="265"/>
    </row>
    <row r="15" spans="1:22" x14ac:dyDescent="0.25">
      <c r="A15" s="265"/>
      <c r="B15" s="265"/>
      <c r="C15" s="265"/>
      <c r="D15" s="265"/>
      <c r="E15" s="265"/>
      <c r="F15" s="265"/>
      <c r="G15" s="265"/>
      <c r="H15" s="265"/>
      <c r="I15" s="265"/>
      <c r="J15" s="265"/>
      <c r="K15" s="265"/>
      <c r="L15" s="265"/>
      <c r="M15" s="265"/>
      <c r="N15" s="265"/>
      <c r="O15" s="265"/>
      <c r="P15" s="265"/>
      <c r="Q15" s="265"/>
      <c r="R15" s="265"/>
      <c r="S15" s="265"/>
      <c r="T15" s="265"/>
      <c r="U15" s="265"/>
      <c r="V15" s="265"/>
    </row>
    <row r="16" spans="1:22" x14ac:dyDescent="0.25">
      <c r="A16" s="265"/>
      <c r="B16" s="265"/>
      <c r="C16" s="265"/>
      <c r="D16" s="265"/>
      <c r="E16" s="265"/>
      <c r="F16" s="265"/>
      <c r="G16" s="265"/>
      <c r="H16" s="265"/>
      <c r="I16" s="265"/>
      <c r="J16" s="265"/>
      <c r="K16" s="265"/>
      <c r="L16" s="265"/>
      <c r="M16" s="265"/>
      <c r="N16" s="265"/>
      <c r="O16" s="265"/>
      <c r="P16" s="265"/>
      <c r="Q16" s="265"/>
      <c r="R16" s="290"/>
      <c r="S16" s="265"/>
      <c r="T16" s="265"/>
      <c r="U16" s="265"/>
      <c r="V16" s="265"/>
    </row>
    <row r="17" spans="1:22" x14ac:dyDescent="0.25">
      <c r="A17" s="265"/>
      <c r="B17" s="265"/>
      <c r="C17" s="265"/>
      <c r="D17" s="265"/>
      <c r="E17" s="265"/>
      <c r="F17" s="265"/>
      <c r="G17" s="265"/>
      <c r="H17" s="265"/>
      <c r="I17" s="265"/>
      <c r="J17" s="265"/>
      <c r="K17" s="265"/>
      <c r="L17" s="265"/>
      <c r="M17" s="265"/>
      <c r="N17" s="265"/>
      <c r="O17" s="265"/>
      <c r="P17" s="265"/>
      <c r="Q17" s="265"/>
      <c r="R17" s="265"/>
      <c r="S17" s="265"/>
      <c r="T17" s="265"/>
      <c r="U17" s="265"/>
      <c r="V17" s="265"/>
    </row>
    <row r="18" spans="1:22" x14ac:dyDescent="0.25">
      <c r="A18" s="265"/>
      <c r="B18" s="265"/>
      <c r="C18" s="265"/>
      <c r="D18" s="265"/>
      <c r="E18" s="265"/>
      <c r="F18" s="265"/>
      <c r="G18" s="265"/>
      <c r="H18" s="265"/>
      <c r="I18" s="265"/>
      <c r="J18" s="265"/>
      <c r="K18" s="265"/>
      <c r="L18" s="265"/>
      <c r="M18" s="265"/>
      <c r="N18" s="265"/>
      <c r="O18" s="265"/>
      <c r="P18" s="265"/>
      <c r="Q18" s="265"/>
      <c r="R18" s="265"/>
      <c r="S18" s="265"/>
      <c r="T18" s="265"/>
      <c r="U18" s="265"/>
      <c r="V18" s="265"/>
    </row>
    <row r="19" spans="1:22" x14ac:dyDescent="0.25">
      <c r="A19" s="265"/>
      <c r="B19" s="265"/>
      <c r="C19" s="265"/>
      <c r="D19" s="265"/>
      <c r="E19" s="265"/>
      <c r="F19" s="265"/>
      <c r="G19" s="265"/>
      <c r="H19" s="265"/>
      <c r="I19" s="265"/>
      <c r="J19" s="265"/>
      <c r="K19" s="265"/>
      <c r="L19" s="265"/>
      <c r="M19" s="265"/>
      <c r="N19" s="265"/>
      <c r="O19" s="265"/>
      <c r="P19" s="265"/>
      <c r="Q19" s="265"/>
      <c r="R19" s="265"/>
      <c r="S19" s="265"/>
      <c r="T19" s="265"/>
      <c r="U19" s="265"/>
      <c r="V19" s="265"/>
    </row>
    <row r="20" spans="1:22" x14ac:dyDescent="0.25">
      <c r="A20" s="265"/>
      <c r="B20" s="265"/>
      <c r="C20" s="265"/>
      <c r="D20" s="265"/>
      <c r="E20" s="265"/>
      <c r="F20" s="265"/>
      <c r="G20" s="265"/>
      <c r="H20" s="265"/>
      <c r="I20" s="265"/>
      <c r="J20" s="265"/>
      <c r="K20" s="265"/>
      <c r="L20" s="265"/>
      <c r="M20" s="265"/>
      <c r="N20" s="265"/>
      <c r="O20" s="265"/>
      <c r="P20" s="265"/>
      <c r="Q20" s="290"/>
      <c r="R20" s="265"/>
      <c r="S20" s="265"/>
      <c r="T20" s="265"/>
      <c r="U20" s="265"/>
      <c r="V20" s="265"/>
    </row>
    <row r="21" spans="1:22" x14ac:dyDescent="0.25">
      <c r="A21" s="265"/>
      <c r="B21" s="265"/>
      <c r="C21" s="265"/>
      <c r="D21" s="265"/>
      <c r="E21" s="265"/>
      <c r="F21" s="265"/>
      <c r="G21" s="265"/>
      <c r="H21" s="265"/>
      <c r="I21" s="265"/>
      <c r="J21" s="265"/>
      <c r="K21" s="265"/>
      <c r="L21" s="265"/>
      <c r="M21" s="265"/>
      <c r="N21" s="265"/>
      <c r="O21" s="265"/>
      <c r="P21" s="265"/>
      <c r="Q21" s="265"/>
      <c r="R21" s="265"/>
      <c r="S21" s="265"/>
      <c r="T21" s="265"/>
      <c r="U21" s="265"/>
      <c r="V21" s="265"/>
    </row>
    <row r="22" spans="1:22" x14ac:dyDescent="0.25">
      <c r="A22" s="265"/>
      <c r="B22" s="265"/>
      <c r="C22" s="265"/>
      <c r="D22" s="265"/>
      <c r="E22" s="265"/>
      <c r="F22" s="265"/>
      <c r="G22" s="265"/>
      <c r="H22" s="265"/>
      <c r="I22" s="265"/>
      <c r="J22" s="265"/>
      <c r="K22" s="265"/>
      <c r="L22" s="265"/>
      <c r="M22" s="265"/>
      <c r="N22" s="265"/>
      <c r="O22" s="265"/>
      <c r="P22" s="265"/>
      <c r="Q22" s="290"/>
      <c r="R22" s="265"/>
      <c r="S22" s="265"/>
      <c r="T22" s="265"/>
      <c r="U22" s="265"/>
      <c r="V22" s="265"/>
    </row>
  </sheetData>
  <mergeCells count="24">
    <mergeCell ref="A2:V2"/>
    <mergeCell ref="A3:V3"/>
    <mergeCell ref="A4:V4"/>
    <mergeCell ref="A5:V5"/>
    <mergeCell ref="A7:A9"/>
    <mergeCell ref="B7:B9"/>
    <mergeCell ref="C7:C9"/>
    <mergeCell ref="D7:D9"/>
    <mergeCell ref="E7:E9"/>
    <mergeCell ref="F7:F9"/>
    <mergeCell ref="G7:G9"/>
    <mergeCell ref="I7:J8"/>
    <mergeCell ref="K7:K9"/>
    <mergeCell ref="L7:R7"/>
    <mergeCell ref="S7:T7"/>
    <mergeCell ref="V7:V9"/>
    <mergeCell ref="S8:S9"/>
    <mergeCell ref="T8:T9"/>
    <mergeCell ref="U7:U9"/>
    <mergeCell ref="L8:M8"/>
    <mergeCell ref="N8:N9"/>
    <mergeCell ref="O8:P8"/>
    <mergeCell ref="Q8:Q9"/>
    <mergeCell ref="R8:R9"/>
  </mergeCells>
  <pageMargins left="0.70866141732283472" right="0.70866141732283472" top="0.74803149606299213" bottom="0.74803149606299213" header="0.31496062992125984" footer="0.31496062992125984"/>
  <pageSetup paperSize="9" scale="92" orientation="landscape" horizontalDpi="4294967293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G25"/>
  <sheetViews>
    <sheetView zoomScaleNormal="100" workbookViewId="0">
      <selection activeCell="D16" sqref="D16"/>
    </sheetView>
  </sheetViews>
  <sheetFormatPr baseColWidth="10" defaultColWidth="11.42578125" defaultRowHeight="15" x14ac:dyDescent="0.25"/>
  <cols>
    <col min="1" max="1" width="37" style="18" customWidth="1"/>
    <col min="2" max="2" width="15.42578125" style="18" customWidth="1"/>
    <col min="3" max="3" width="18.5703125" style="18" customWidth="1"/>
    <col min="4" max="5" width="17.85546875" style="18" bestFit="1" customWidth="1"/>
    <col min="6" max="16384" width="11.42578125" style="18"/>
  </cols>
  <sheetData>
    <row r="2" spans="1:7" ht="45" x14ac:dyDescent="0.6">
      <c r="A2" s="859"/>
      <c r="B2" s="859"/>
      <c r="C2" s="859"/>
      <c r="D2" s="859"/>
      <c r="E2" s="859"/>
    </row>
    <row r="3" spans="1:7" ht="25.5" customHeight="1" x14ac:dyDescent="0.3">
      <c r="A3" s="860"/>
      <c r="B3" s="860"/>
      <c r="C3" s="860"/>
      <c r="D3" s="860"/>
      <c r="E3" s="860"/>
      <c r="F3" s="860"/>
    </row>
    <row r="4" spans="1:7" ht="27" customHeight="1" x14ac:dyDescent="0.35">
      <c r="A4" s="861" t="s">
        <v>24</v>
      </c>
      <c r="B4" s="861"/>
      <c r="C4" s="861"/>
      <c r="D4" s="861"/>
      <c r="E4" s="861"/>
      <c r="F4" s="861"/>
    </row>
    <row r="5" spans="1:7" ht="27" customHeight="1" x14ac:dyDescent="0.3">
      <c r="A5" s="863" t="s">
        <v>321</v>
      </c>
      <c r="B5" s="863"/>
      <c r="C5" s="863"/>
      <c r="D5" s="863"/>
      <c r="E5" s="863"/>
      <c r="F5" s="863"/>
    </row>
    <row r="6" spans="1:7" ht="20.25" x14ac:dyDescent="0.3">
      <c r="A6" s="862" t="s">
        <v>584</v>
      </c>
      <c r="B6" s="862"/>
      <c r="C6" s="862"/>
      <c r="D6" s="862"/>
      <c r="E6" s="862"/>
      <c r="F6" s="862"/>
    </row>
    <row r="7" spans="1:7" ht="18.75" x14ac:dyDescent="0.25">
      <c r="A7" s="20" t="s">
        <v>45</v>
      </c>
      <c r="B7" s="20" t="s">
        <v>46</v>
      </c>
      <c r="C7" s="20" t="s">
        <v>47</v>
      </c>
      <c r="D7" s="20" t="s">
        <v>48</v>
      </c>
      <c r="E7" s="20" t="s">
        <v>49</v>
      </c>
      <c r="F7" s="20" t="s">
        <v>50</v>
      </c>
    </row>
    <row r="8" spans="1:7" s="23" customFormat="1" ht="18.75" x14ac:dyDescent="0.25">
      <c r="A8" s="93" t="s">
        <v>322</v>
      </c>
      <c r="B8" s="19" t="s">
        <v>91</v>
      </c>
      <c r="C8" s="24">
        <f>5213488.17+611158.71</f>
        <v>5824646.8799999999</v>
      </c>
      <c r="D8" s="94">
        <v>5341500.1399999997</v>
      </c>
      <c r="E8" s="21">
        <f>C8-D8</f>
        <v>483146.74000000022</v>
      </c>
      <c r="F8" s="22">
        <f>E8/C8</f>
        <v>8.2948674821640048E-2</v>
      </c>
    </row>
    <row r="9" spans="1:7" s="23" customFormat="1" ht="18.75" x14ac:dyDescent="0.25">
      <c r="A9" s="93" t="s">
        <v>322</v>
      </c>
      <c r="B9" s="92" t="s">
        <v>59</v>
      </c>
      <c r="C9" s="24">
        <v>8325478.6399999997</v>
      </c>
      <c r="D9" s="24">
        <v>7453704.4900000002</v>
      </c>
      <c r="E9" s="21">
        <f>C9-D9</f>
        <v>871774.14999999944</v>
      </c>
      <c r="F9" s="22">
        <f t="shared" ref="F9:F19" si="0">E9/C9</f>
        <v>0.10471159529633955</v>
      </c>
    </row>
    <row r="10" spans="1:7" s="23" customFormat="1" ht="18.75" x14ac:dyDescent="0.25">
      <c r="A10" s="93" t="s">
        <v>322</v>
      </c>
      <c r="B10" s="92" t="s">
        <v>60</v>
      </c>
      <c r="C10" s="24">
        <v>6253870.46</v>
      </c>
      <c r="D10" s="24">
        <v>6025919.4800000004</v>
      </c>
      <c r="E10" s="21">
        <f t="shared" ref="E10:E19" si="1">C10-D10</f>
        <v>227950.97999999952</v>
      </c>
      <c r="F10" s="22">
        <f t="shared" si="0"/>
        <v>3.6449584534566697E-2</v>
      </c>
    </row>
    <row r="11" spans="1:7" s="23" customFormat="1" ht="18.75" x14ac:dyDescent="0.25">
      <c r="A11" s="93" t="s">
        <v>322</v>
      </c>
      <c r="B11" s="92" t="s">
        <v>61</v>
      </c>
      <c r="C11" s="24">
        <v>5323310.0599999996</v>
      </c>
      <c r="D11" s="24">
        <v>5072289.47</v>
      </c>
      <c r="E11" s="21">
        <f t="shared" si="1"/>
        <v>251020.58999999985</v>
      </c>
      <c r="F11" s="22">
        <f t="shared" si="0"/>
        <v>4.7154981988781597E-2</v>
      </c>
    </row>
    <row r="12" spans="1:7" s="23" customFormat="1" ht="18.75" x14ac:dyDescent="0.25">
      <c r="A12" s="93" t="s">
        <v>322</v>
      </c>
      <c r="B12" s="92" t="s">
        <v>62</v>
      </c>
      <c r="C12" s="24">
        <v>7641346.4400000004</v>
      </c>
      <c r="D12" s="24">
        <v>7370236.04</v>
      </c>
      <c r="E12" s="21">
        <f>C12-D12</f>
        <v>271110.40000000037</v>
      </c>
      <c r="F12" s="22">
        <f t="shared" si="0"/>
        <v>3.5479401716538371E-2</v>
      </c>
    </row>
    <row r="13" spans="1:7" s="23" customFormat="1" ht="18.75" x14ac:dyDescent="0.25">
      <c r="A13" s="93" t="s">
        <v>322</v>
      </c>
      <c r="B13" s="92" t="s">
        <v>63</v>
      </c>
      <c r="C13" s="24">
        <v>4869794.57</v>
      </c>
      <c r="D13" s="24">
        <v>4765180.43</v>
      </c>
      <c r="E13" s="21">
        <f>C13-D13</f>
        <v>104614.1400000006</v>
      </c>
      <c r="F13" s="22">
        <f t="shared" si="0"/>
        <v>2.1482249096187355E-2</v>
      </c>
    </row>
    <row r="14" spans="1:7" ht="18.75" x14ac:dyDescent="0.25">
      <c r="A14" s="93" t="s">
        <v>322</v>
      </c>
      <c r="B14" s="92" t="s">
        <v>64</v>
      </c>
      <c r="C14" s="25">
        <v>6705684.3200000003</v>
      </c>
      <c r="D14" s="25">
        <v>6425771.9400000004</v>
      </c>
      <c r="E14" s="21">
        <f>C14-D14</f>
        <v>279912.37999999989</v>
      </c>
      <c r="F14" s="22">
        <f t="shared" si="0"/>
        <v>4.1742552533400479E-2</v>
      </c>
      <c r="G14" s="23"/>
    </row>
    <row r="15" spans="1:7" ht="18.75" x14ac:dyDescent="0.25">
      <c r="A15" s="93" t="s">
        <v>322</v>
      </c>
      <c r="B15" s="92" t="s">
        <v>65</v>
      </c>
      <c r="C15" s="25">
        <v>4686425.62</v>
      </c>
      <c r="D15" s="25">
        <v>4535940.6100000003</v>
      </c>
      <c r="E15" s="21">
        <f>C15-D15</f>
        <v>150485.00999999978</v>
      </c>
      <c r="F15" s="22">
        <f t="shared" si="0"/>
        <v>3.2110828636174912E-2</v>
      </c>
      <c r="G15" s="23"/>
    </row>
    <row r="16" spans="1:7" ht="18.75" x14ac:dyDescent="0.25">
      <c r="A16" s="93" t="s">
        <v>322</v>
      </c>
      <c r="B16" s="99" t="s">
        <v>66</v>
      </c>
      <c r="C16" s="25"/>
      <c r="D16" s="25"/>
      <c r="E16" s="21">
        <f>C16-D16</f>
        <v>0</v>
      </c>
      <c r="F16" s="22" t="e">
        <f t="shared" si="0"/>
        <v>#DIV/0!</v>
      </c>
      <c r="G16" s="23"/>
    </row>
    <row r="17" spans="1:7" ht="18.75" x14ac:dyDescent="0.25">
      <c r="A17" s="93" t="s">
        <v>322</v>
      </c>
      <c r="B17" s="99" t="s">
        <v>67</v>
      </c>
      <c r="C17" s="25"/>
      <c r="D17" s="25"/>
      <c r="E17" s="21">
        <f t="shared" si="1"/>
        <v>0</v>
      </c>
      <c r="F17" s="22" t="e">
        <f t="shared" si="0"/>
        <v>#DIV/0!</v>
      </c>
      <c r="G17" s="23"/>
    </row>
    <row r="18" spans="1:7" ht="18.75" x14ac:dyDescent="0.25">
      <c r="A18" s="93" t="s">
        <v>322</v>
      </c>
      <c r="B18" s="99" t="s">
        <v>68</v>
      </c>
      <c r="C18" s="25"/>
      <c r="D18" s="25"/>
      <c r="E18" s="21">
        <f t="shared" si="1"/>
        <v>0</v>
      </c>
      <c r="F18" s="22" t="e">
        <f t="shared" si="0"/>
        <v>#DIV/0!</v>
      </c>
      <c r="G18" s="23"/>
    </row>
    <row r="19" spans="1:7" ht="18.75" x14ac:dyDescent="0.25">
      <c r="A19" s="93" t="s">
        <v>322</v>
      </c>
      <c r="B19" s="99" t="s">
        <v>69</v>
      </c>
      <c r="C19" s="25"/>
      <c r="D19" s="25"/>
      <c r="E19" s="21">
        <f t="shared" si="1"/>
        <v>0</v>
      </c>
      <c r="F19" s="22" t="e">
        <f t="shared" si="0"/>
        <v>#DIV/0!</v>
      </c>
      <c r="G19" s="23"/>
    </row>
    <row r="20" spans="1:7" ht="18.75" x14ac:dyDescent="0.3">
      <c r="A20" s="26" t="s">
        <v>51</v>
      </c>
      <c r="B20" s="26"/>
      <c r="C20" s="27">
        <f>SUM(C8:C19)</f>
        <v>49630556.989999995</v>
      </c>
      <c r="D20" s="27">
        <f>SUM(D8:D19)</f>
        <v>46990542.599999994</v>
      </c>
      <c r="E20" s="27">
        <f>SUM(E8:E19)</f>
        <v>2640014.3899999997</v>
      </c>
      <c r="F20" s="28"/>
    </row>
    <row r="21" spans="1:7" ht="23.25" x14ac:dyDescent="0.35">
      <c r="A21" s="115" t="s">
        <v>52</v>
      </c>
      <c r="B21" s="115"/>
      <c r="C21" s="116"/>
      <c r="D21" s="116"/>
    </row>
    <row r="22" spans="1:7" ht="23.25" x14ac:dyDescent="0.35">
      <c r="A22" s="115" t="s">
        <v>53</v>
      </c>
      <c r="B22" s="115"/>
      <c r="C22" s="116"/>
      <c r="D22" s="116"/>
    </row>
    <row r="24" spans="1:7" x14ac:dyDescent="0.25">
      <c r="B24"/>
      <c r="C24"/>
    </row>
    <row r="25" spans="1:7" x14ac:dyDescent="0.25">
      <c r="B25"/>
      <c r="C25"/>
    </row>
  </sheetData>
  <mergeCells count="5">
    <mergeCell ref="A2:E2"/>
    <mergeCell ref="A3:F3"/>
    <mergeCell ref="A4:F4"/>
    <mergeCell ref="A6:F6"/>
    <mergeCell ref="A5:F5"/>
  </mergeCells>
  <pageMargins left="0.7" right="0.7" top="0.75" bottom="0.75" header="0.3" footer="0.3"/>
  <pageSetup scale="64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693"/>
  <sheetViews>
    <sheetView topLeftCell="P1" zoomScaleNormal="100" workbookViewId="0">
      <selection activeCell="S5" sqref="S5"/>
    </sheetView>
  </sheetViews>
  <sheetFormatPr baseColWidth="10" defaultRowHeight="15" x14ac:dyDescent="0.25"/>
  <cols>
    <col min="1" max="1" width="4.140625" customWidth="1"/>
    <col min="2" max="2" width="39.5703125" bestFit="1" customWidth="1"/>
    <col min="3" max="3" width="21.140625" customWidth="1"/>
    <col min="4" max="4" width="21.28515625" customWidth="1"/>
    <col min="5" max="5" width="21.5703125" customWidth="1"/>
    <col min="6" max="6" width="16.85546875" customWidth="1"/>
    <col min="7" max="8" width="16.5703125" customWidth="1"/>
    <col min="9" max="9" width="17" customWidth="1"/>
    <col min="10" max="10" width="17.42578125" customWidth="1"/>
    <col min="11" max="11" width="16.7109375" customWidth="1"/>
    <col min="12" max="12" width="17.140625" customWidth="1"/>
    <col min="13" max="13" width="16.5703125" customWidth="1"/>
    <col min="14" max="14" width="18.42578125" customWidth="1"/>
    <col min="15" max="15" width="19" customWidth="1"/>
    <col min="16" max="16" width="17" customWidth="1"/>
    <col min="17" max="17" width="17.28515625" customWidth="1"/>
    <col min="18" max="18" width="21" customWidth="1"/>
    <col min="19" max="19" width="22.28515625" customWidth="1"/>
    <col min="20" max="20" width="16.5703125" customWidth="1"/>
    <col min="21" max="21" width="17.7109375" customWidth="1"/>
    <col min="22" max="22" width="17.5703125" customWidth="1"/>
    <col min="23" max="23" width="22.42578125" customWidth="1"/>
    <col min="24" max="24" width="20" customWidth="1"/>
    <col min="25" max="25" width="18.28515625" customWidth="1"/>
    <col min="26" max="26" width="18.85546875" customWidth="1"/>
    <col min="27" max="27" width="17.7109375" bestFit="1" customWidth="1"/>
    <col min="28" max="28" width="18.42578125" customWidth="1"/>
  </cols>
  <sheetData>
    <row r="1" spans="1:28" ht="36" x14ac:dyDescent="0.55000000000000004">
      <c r="A1" s="868" t="s">
        <v>239</v>
      </c>
      <c r="B1" s="868"/>
      <c r="C1" s="868"/>
      <c r="D1" s="868"/>
      <c r="E1" s="868"/>
      <c r="F1" s="868"/>
      <c r="G1" s="868"/>
      <c r="H1" s="868"/>
      <c r="I1" s="868"/>
      <c r="J1" s="868"/>
      <c r="K1" s="868"/>
      <c r="L1" s="117"/>
    </row>
    <row r="2" spans="1:28" ht="26.25" x14ac:dyDescent="0.4">
      <c r="A2" s="869" t="s">
        <v>240</v>
      </c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117"/>
    </row>
    <row r="3" spans="1:28" ht="18.75" x14ac:dyDescent="0.3">
      <c r="A3" s="870" t="s">
        <v>588</v>
      </c>
      <c r="B3" s="870"/>
      <c r="C3" s="870"/>
      <c r="D3" s="870"/>
      <c r="E3" s="870"/>
      <c r="F3" s="870"/>
      <c r="G3" s="870"/>
      <c r="H3" s="870"/>
      <c r="I3" s="870"/>
      <c r="J3" s="870"/>
      <c r="K3" s="870"/>
      <c r="L3" s="117"/>
    </row>
    <row r="4" spans="1:28" ht="18.75" x14ac:dyDescent="0.3">
      <c r="A4" s="871"/>
      <c r="B4" s="871"/>
      <c r="C4" s="871"/>
      <c r="D4" s="871"/>
      <c r="E4" s="871"/>
      <c r="F4" s="871"/>
      <c r="G4" s="871"/>
      <c r="H4" s="871"/>
      <c r="I4" s="871"/>
      <c r="J4" s="871"/>
      <c r="K4" s="871"/>
      <c r="L4" s="117"/>
    </row>
    <row r="6" spans="1:28" s="120" customFormat="1" ht="23.25" x14ac:dyDescent="0.35">
      <c r="A6" s="876" t="s">
        <v>672</v>
      </c>
      <c r="B6" s="876"/>
      <c r="C6" s="876"/>
      <c r="D6" s="876"/>
      <c r="E6" s="876"/>
      <c r="F6" s="876"/>
      <c r="G6" s="876"/>
      <c r="H6" s="876"/>
      <c r="I6" s="118"/>
      <c r="J6" s="118"/>
      <c r="K6" s="118"/>
      <c r="L6" s="119"/>
    </row>
    <row r="7" spans="1:28" ht="15.75" thickBot="1" x14ac:dyDescent="0.3">
      <c r="A7" s="121"/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</row>
    <row r="8" spans="1:28" ht="15.75" thickBot="1" x14ac:dyDescent="0.3">
      <c r="A8" s="872" t="s">
        <v>25</v>
      </c>
      <c r="B8" s="873"/>
      <c r="C8" s="874" t="s">
        <v>241</v>
      </c>
      <c r="D8" s="875"/>
      <c r="E8" s="864" t="s">
        <v>59</v>
      </c>
      <c r="F8" s="864"/>
      <c r="G8" s="864" t="s">
        <v>60</v>
      </c>
      <c r="H8" s="864"/>
      <c r="I8" s="864" t="s">
        <v>61</v>
      </c>
      <c r="J8" s="864"/>
      <c r="K8" s="864" t="s">
        <v>62</v>
      </c>
      <c r="L8" s="864"/>
      <c r="M8" s="864" t="s">
        <v>63</v>
      </c>
      <c r="N8" s="864"/>
      <c r="O8" s="864" t="s">
        <v>64</v>
      </c>
      <c r="P8" s="864"/>
      <c r="Q8" s="864" t="s">
        <v>65</v>
      </c>
      <c r="R8" s="864"/>
      <c r="S8" s="864" t="s">
        <v>66</v>
      </c>
      <c r="T8" s="864"/>
      <c r="U8" s="864" t="s">
        <v>67</v>
      </c>
      <c r="V8" s="864"/>
      <c r="W8" s="864" t="s">
        <v>68</v>
      </c>
      <c r="X8" s="864"/>
      <c r="Y8" s="864" t="s">
        <v>69</v>
      </c>
      <c r="Z8" s="864"/>
      <c r="AA8" s="864" t="s">
        <v>44</v>
      </c>
      <c r="AB8" s="864"/>
    </row>
    <row r="9" spans="1:28" ht="15.75" thickBot="1" x14ac:dyDescent="0.3">
      <c r="A9" s="177"/>
      <c r="B9" s="178"/>
      <c r="C9" s="179" t="s">
        <v>242</v>
      </c>
      <c r="D9" s="180" t="s">
        <v>48</v>
      </c>
      <c r="E9" s="179" t="s">
        <v>242</v>
      </c>
      <c r="F9" s="180" t="s">
        <v>48</v>
      </c>
      <c r="G9" s="179" t="s">
        <v>242</v>
      </c>
      <c r="H9" s="180" t="s">
        <v>48</v>
      </c>
      <c r="I9" s="179" t="s">
        <v>242</v>
      </c>
      <c r="J9" s="180" t="s">
        <v>48</v>
      </c>
      <c r="K9" s="179" t="s">
        <v>242</v>
      </c>
      <c r="L9" s="180" t="s">
        <v>48</v>
      </c>
      <c r="M9" s="179" t="s">
        <v>242</v>
      </c>
      <c r="N9" s="180" t="s">
        <v>48</v>
      </c>
      <c r="O9" s="179" t="s">
        <v>242</v>
      </c>
      <c r="P9" s="180" t="s">
        <v>48</v>
      </c>
      <c r="Q9" s="179" t="s">
        <v>242</v>
      </c>
      <c r="R9" s="180" t="s">
        <v>48</v>
      </c>
      <c r="S9" s="179" t="s">
        <v>242</v>
      </c>
      <c r="T9" s="180" t="s">
        <v>48</v>
      </c>
      <c r="U9" s="179" t="s">
        <v>242</v>
      </c>
      <c r="V9" s="180" t="s">
        <v>48</v>
      </c>
      <c r="W9" s="179" t="s">
        <v>242</v>
      </c>
      <c r="X9" s="180" t="s">
        <v>48</v>
      </c>
      <c r="Y9" s="179" t="s">
        <v>242</v>
      </c>
      <c r="Z9" s="180" t="s">
        <v>48</v>
      </c>
      <c r="AA9" s="179" t="s">
        <v>242</v>
      </c>
      <c r="AB9" s="180" t="s">
        <v>48</v>
      </c>
    </row>
    <row r="10" spans="1:28" x14ac:dyDescent="0.25">
      <c r="A10" s="181">
        <v>1</v>
      </c>
      <c r="B10" s="182" t="s">
        <v>70</v>
      </c>
      <c r="C10" s="183">
        <v>4730341.43</v>
      </c>
      <c r="D10" s="183">
        <v>4440689.71</v>
      </c>
      <c r="E10" s="183">
        <v>5898441.7300000004</v>
      </c>
      <c r="F10" s="183">
        <v>4476867.7300000004</v>
      </c>
      <c r="G10" s="183">
        <v>4779210.66</v>
      </c>
      <c r="H10" s="183">
        <v>4730341.43</v>
      </c>
      <c r="I10" s="183">
        <v>4624677.5</v>
      </c>
      <c r="J10" s="183">
        <v>5898441.7300000004</v>
      </c>
      <c r="K10" s="183">
        <v>5642448.4100000001</v>
      </c>
      <c r="L10" s="183">
        <v>4779210.66</v>
      </c>
      <c r="M10" s="183">
        <v>4186258.32</v>
      </c>
      <c r="N10" s="183">
        <f>4624677.5</f>
        <v>4624677.5</v>
      </c>
      <c r="O10" s="184">
        <v>4664520.45</v>
      </c>
      <c r="P10" s="184">
        <v>5642448.4100000001</v>
      </c>
      <c r="Q10" s="184">
        <v>3720640.45</v>
      </c>
      <c r="R10" s="184">
        <v>4186258.32</v>
      </c>
      <c r="S10" s="185"/>
      <c r="T10" s="185"/>
      <c r="U10" s="185"/>
      <c r="V10" s="185"/>
      <c r="W10" s="185"/>
      <c r="X10" s="185"/>
      <c r="Y10" s="261"/>
      <c r="Z10" s="261"/>
      <c r="AA10" s="186">
        <f>SUM(C10+E10+G10+I10+K10+M10+O10+Q10+S10+U10+W10+Y10)</f>
        <v>38246538.950000003</v>
      </c>
      <c r="AB10" s="186">
        <f t="shared" ref="AA10:AB13" si="0">SUM(D10+F10+H10+J10+L10+N10+P10+R10+T10+V10+X10+Z10)</f>
        <v>38778935.490000002</v>
      </c>
    </row>
    <row r="11" spans="1:28" ht="15.75" thickBot="1" x14ac:dyDescent="0.3">
      <c r="A11" s="187">
        <v>2</v>
      </c>
      <c r="B11" s="188" t="s">
        <v>71</v>
      </c>
      <c r="C11" s="185">
        <f>600360.41</f>
        <v>600360.41</v>
      </c>
      <c r="D11" s="185">
        <f>125614+1594761.44+82000+38485.48</f>
        <v>1840860.92</v>
      </c>
      <c r="E11" s="185">
        <f>1144184.18+23779.97+91500+2400</f>
        <v>1261864.1499999999</v>
      </c>
      <c r="F11" s="185">
        <f>76000+24023.01+1641494.26+59500</f>
        <v>1801017.27</v>
      </c>
      <c r="G11" s="185">
        <f>909705.99+36461.15+109500</f>
        <v>1055667.1400000001</v>
      </c>
      <c r="H11" s="185">
        <f>553808.85+6876.06+38000</f>
        <v>598684.91</v>
      </c>
      <c r="I11" s="185">
        <f>327077.1+12862.82+82500</f>
        <v>422439.92</v>
      </c>
      <c r="J11" s="185">
        <f>91500+1143951.86+23436.31+2400+36461.06</f>
        <v>1297749.2300000002</v>
      </c>
      <c r="K11" s="262">
        <f>1539431.55+47025.84+131807</f>
        <v>1718264.3900000001</v>
      </c>
      <c r="L11" s="185">
        <f>858278.16+109500+12862.82</f>
        <v>980640.98</v>
      </c>
      <c r="M11" s="185">
        <f>322011.04+22466.78+88000</f>
        <v>432477.81999999995</v>
      </c>
      <c r="N11" s="185">
        <f>326365.49+82500</f>
        <v>408865.49</v>
      </c>
      <c r="O11" s="185">
        <f>1065021.8+577570.71+82500</f>
        <v>1725092.51</v>
      </c>
      <c r="P11" s="185">
        <f>131807+476432.68+46912.23+543388.01</f>
        <v>1198539.92</v>
      </c>
      <c r="Q11" s="185">
        <f>569811.51+36797.39+184500</f>
        <v>791108.9</v>
      </c>
      <c r="R11" s="185">
        <f>321230.8+88000+22466.78</f>
        <v>431697.57999999996</v>
      </c>
      <c r="S11" s="185"/>
      <c r="T11" s="185"/>
      <c r="U11" s="185"/>
      <c r="V11" s="185"/>
      <c r="W11" s="185"/>
      <c r="X11" s="185"/>
      <c r="Y11" s="261"/>
      <c r="Z11" s="261"/>
      <c r="AA11" s="186">
        <f t="shared" si="0"/>
        <v>8007275.2400000002</v>
      </c>
      <c r="AB11" s="186">
        <f t="shared" si="0"/>
        <v>8558056.3000000007</v>
      </c>
    </row>
    <row r="12" spans="1:28" ht="15.75" thickBot="1" x14ac:dyDescent="0.3">
      <c r="A12" s="865" t="s">
        <v>243</v>
      </c>
      <c r="B12" s="866"/>
      <c r="C12" s="189">
        <f t="shared" ref="C12:Z12" si="1">SUM(C10:C11)</f>
        <v>5330701.84</v>
      </c>
      <c r="D12" s="189">
        <f t="shared" si="1"/>
        <v>6281550.6299999999</v>
      </c>
      <c r="E12" s="189">
        <f t="shared" si="1"/>
        <v>7160305.8800000008</v>
      </c>
      <c r="F12" s="189">
        <f t="shared" si="1"/>
        <v>6277885</v>
      </c>
      <c r="G12" s="189">
        <f t="shared" si="1"/>
        <v>5834877.8000000007</v>
      </c>
      <c r="H12" s="189">
        <f t="shared" si="1"/>
        <v>5329026.34</v>
      </c>
      <c r="I12" s="189">
        <f t="shared" si="1"/>
        <v>5047117.42</v>
      </c>
      <c r="J12" s="189">
        <f t="shared" si="1"/>
        <v>7196190.9600000009</v>
      </c>
      <c r="K12" s="189">
        <f t="shared" si="1"/>
        <v>7360712.8000000007</v>
      </c>
      <c r="L12" s="189">
        <f t="shared" si="1"/>
        <v>5759851.6400000006</v>
      </c>
      <c r="M12" s="189">
        <f t="shared" si="1"/>
        <v>4618736.1399999997</v>
      </c>
      <c r="N12" s="189">
        <f>SUM(N10:N11)</f>
        <v>5033542.99</v>
      </c>
      <c r="O12" s="189">
        <f t="shared" si="1"/>
        <v>6389612.96</v>
      </c>
      <c r="P12" s="189">
        <f t="shared" si="1"/>
        <v>6840988.3300000001</v>
      </c>
      <c r="Q12" s="189">
        <f t="shared" si="1"/>
        <v>4511749.3500000006</v>
      </c>
      <c r="R12" s="189">
        <f t="shared" si="1"/>
        <v>4617955.8999999994</v>
      </c>
      <c r="S12" s="189">
        <f t="shared" si="1"/>
        <v>0</v>
      </c>
      <c r="T12" s="189">
        <f t="shared" si="1"/>
        <v>0</v>
      </c>
      <c r="U12" s="189">
        <f t="shared" si="1"/>
        <v>0</v>
      </c>
      <c r="V12" s="189">
        <f t="shared" si="1"/>
        <v>0</v>
      </c>
      <c r="W12" s="189">
        <f t="shared" si="1"/>
        <v>0</v>
      </c>
      <c r="X12" s="189">
        <f t="shared" si="1"/>
        <v>0</v>
      </c>
      <c r="Y12" s="189">
        <f t="shared" si="1"/>
        <v>0</v>
      </c>
      <c r="Z12" s="189">
        <f t="shared" si="1"/>
        <v>0</v>
      </c>
      <c r="AA12" s="189">
        <f t="shared" si="0"/>
        <v>46253814.190000005</v>
      </c>
      <c r="AB12" s="189">
        <f t="shared" si="0"/>
        <v>47336991.789999999</v>
      </c>
    </row>
    <row r="13" spans="1:28" hidden="1" x14ac:dyDescent="0.25">
      <c r="A13" s="190">
        <v>3</v>
      </c>
      <c r="B13" s="191" t="s">
        <v>323</v>
      </c>
      <c r="C13" s="186">
        <v>0</v>
      </c>
      <c r="D13" s="186">
        <v>0</v>
      </c>
      <c r="E13" s="186">
        <v>0</v>
      </c>
      <c r="F13" s="186">
        <v>0</v>
      </c>
      <c r="G13" s="186">
        <v>0</v>
      </c>
      <c r="H13" s="186">
        <v>0</v>
      </c>
      <c r="I13" s="186"/>
      <c r="J13" s="186"/>
      <c r="K13" s="186"/>
      <c r="L13" s="186"/>
      <c r="M13" s="186"/>
      <c r="N13" s="186"/>
      <c r="O13" s="186"/>
      <c r="P13" s="186"/>
      <c r="Q13" s="186"/>
      <c r="R13" s="186"/>
      <c r="S13" s="186"/>
      <c r="T13" s="186"/>
      <c r="U13" s="186"/>
      <c r="V13" s="186"/>
      <c r="W13" s="186"/>
      <c r="X13" s="186"/>
      <c r="Y13" s="186"/>
      <c r="Z13" s="186"/>
      <c r="AA13" s="186">
        <f t="shared" si="0"/>
        <v>0</v>
      </c>
      <c r="AB13" s="186">
        <f t="shared" si="0"/>
        <v>0</v>
      </c>
    </row>
    <row r="14" spans="1:28" hidden="1" x14ac:dyDescent="0.25">
      <c r="A14" s="192">
        <v>4</v>
      </c>
      <c r="B14" s="193" t="s">
        <v>244</v>
      </c>
      <c r="C14" s="186"/>
      <c r="D14" s="186"/>
      <c r="E14" s="186"/>
      <c r="F14" s="186"/>
      <c r="G14" s="186">
        <v>0</v>
      </c>
      <c r="H14" s="186">
        <v>0</v>
      </c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  <c r="Z14" s="186"/>
      <c r="AA14" s="186">
        <f t="shared" ref="AA14:AA30" si="2">SUM(C14+E14+G14+I14+K14+M14+O14+Q14+S14+U14+W14+Y14)</f>
        <v>0</v>
      </c>
      <c r="AB14" s="186">
        <f t="shared" ref="AB14:AB30" si="3">SUM(D14+F14+H14+J14+L14+N14+P14+R14+T14+V14+X14+Z14)</f>
        <v>0</v>
      </c>
    </row>
    <row r="15" spans="1:28" x14ac:dyDescent="0.25">
      <c r="A15" s="192">
        <v>3</v>
      </c>
      <c r="B15" s="193" t="s">
        <v>245</v>
      </c>
      <c r="C15" s="186">
        <v>0</v>
      </c>
      <c r="D15" s="186">
        <v>0</v>
      </c>
      <c r="E15" s="186">
        <v>0</v>
      </c>
      <c r="F15" s="186">
        <v>0</v>
      </c>
      <c r="G15" s="186">
        <v>0</v>
      </c>
      <c r="H15" s="186">
        <v>0</v>
      </c>
      <c r="I15" s="186">
        <v>0</v>
      </c>
      <c r="J15" s="186">
        <v>0</v>
      </c>
      <c r="K15" s="186">
        <v>0</v>
      </c>
      <c r="L15" s="186">
        <v>0</v>
      </c>
      <c r="M15" s="186">
        <v>0</v>
      </c>
      <c r="N15" s="186">
        <v>0</v>
      </c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>
        <f t="shared" si="2"/>
        <v>0</v>
      </c>
      <c r="AB15" s="186">
        <f t="shared" si="3"/>
        <v>0</v>
      </c>
    </row>
    <row r="16" spans="1:28" hidden="1" x14ac:dyDescent="0.25">
      <c r="A16" s="192">
        <v>6</v>
      </c>
      <c r="B16" s="193" t="s">
        <v>30</v>
      </c>
      <c r="C16" s="186"/>
      <c r="D16" s="186"/>
      <c r="E16" s="186"/>
      <c r="F16" s="186"/>
      <c r="G16" s="186"/>
      <c r="H16" s="186"/>
      <c r="I16" s="186"/>
      <c r="J16" s="186"/>
      <c r="K16" s="186"/>
      <c r="L16" s="186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6"/>
      <c r="Y16" s="186"/>
      <c r="Z16" s="186"/>
      <c r="AA16" s="186">
        <f t="shared" si="2"/>
        <v>0</v>
      </c>
      <c r="AB16" s="186">
        <f t="shared" si="3"/>
        <v>0</v>
      </c>
    </row>
    <row r="17" spans="1:28" x14ac:dyDescent="0.25">
      <c r="A17" s="192">
        <v>4</v>
      </c>
      <c r="B17" s="193" t="s">
        <v>273</v>
      </c>
      <c r="C17" s="186">
        <v>10798.3</v>
      </c>
      <c r="D17" s="186">
        <v>47167.62</v>
      </c>
      <c r="E17" s="186">
        <v>284944.19</v>
      </c>
      <c r="F17" s="186">
        <v>0</v>
      </c>
      <c r="G17" s="186">
        <v>22737.38</v>
      </c>
      <c r="H17" s="186">
        <f>271520.11+17060.31</f>
        <v>288580.42</v>
      </c>
      <c r="I17" s="186">
        <f>25172.05</f>
        <v>25172.05</v>
      </c>
      <c r="J17" s="186">
        <v>22737.38</v>
      </c>
      <c r="K17" s="186">
        <v>9523.24</v>
      </c>
      <c r="L17" s="186">
        <v>15096.62</v>
      </c>
      <c r="M17" s="186">
        <v>146444.29</v>
      </c>
      <c r="N17" s="186">
        <v>0</v>
      </c>
      <c r="O17" s="186">
        <v>36158.980000000003</v>
      </c>
      <c r="P17" s="186">
        <f>9441.06+70577.42</f>
        <v>80018.48</v>
      </c>
      <c r="Q17" s="186">
        <v>24191.26</v>
      </c>
      <c r="R17" s="186">
        <v>18178</v>
      </c>
      <c r="S17" s="186"/>
      <c r="T17" s="186"/>
      <c r="U17" s="186"/>
      <c r="V17" s="186">
        <v>0</v>
      </c>
      <c r="W17" s="186">
        <v>0</v>
      </c>
      <c r="X17" s="186"/>
      <c r="Y17" s="186">
        <v>0</v>
      </c>
      <c r="Z17" s="186">
        <v>0</v>
      </c>
      <c r="AA17" s="186">
        <f t="shared" si="2"/>
        <v>559969.68999999994</v>
      </c>
      <c r="AB17" s="186">
        <f t="shared" si="3"/>
        <v>471778.51999999996</v>
      </c>
    </row>
    <row r="18" spans="1:28" hidden="1" x14ac:dyDescent="0.25">
      <c r="A18" s="192">
        <v>9</v>
      </c>
      <c r="B18" s="193" t="s">
        <v>246</v>
      </c>
      <c r="C18" s="186"/>
      <c r="D18" s="186"/>
      <c r="E18" s="186"/>
      <c r="F18" s="186"/>
      <c r="G18" s="186"/>
      <c r="H18" s="186"/>
      <c r="I18" s="186"/>
      <c r="J18" s="186"/>
      <c r="K18" s="186"/>
      <c r="L18" s="186"/>
      <c r="M18" s="186"/>
      <c r="N18" s="186"/>
      <c r="O18" s="186"/>
      <c r="P18" s="186"/>
      <c r="Q18" s="186"/>
      <c r="R18" s="186"/>
      <c r="S18" s="186"/>
      <c r="T18" s="186"/>
      <c r="U18" s="186"/>
      <c r="V18" s="186"/>
      <c r="W18" s="186"/>
      <c r="X18" s="186"/>
      <c r="Y18" s="186"/>
      <c r="Z18" s="186"/>
      <c r="AA18" s="186">
        <f t="shared" si="2"/>
        <v>0</v>
      </c>
      <c r="AB18" s="186">
        <f t="shared" si="3"/>
        <v>0</v>
      </c>
    </row>
    <row r="19" spans="1:28" x14ac:dyDescent="0.25">
      <c r="A19" s="192">
        <v>5</v>
      </c>
      <c r="B19" s="193" t="s">
        <v>247</v>
      </c>
      <c r="C19" s="186">
        <v>0</v>
      </c>
      <c r="D19" s="186">
        <v>126390.54</v>
      </c>
      <c r="E19" s="186">
        <v>0</v>
      </c>
      <c r="F19" s="186">
        <v>10364.200000000001</v>
      </c>
      <c r="G19" s="186">
        <v>10306</v>
      </c>
      <c r="H19" s="186">
        <v>0</v>
      </c>
      <c r="I19" s="186">
        <v>0</v>
      </c>
      <c r="J19" s="186">
        <v>0</v>
      </c>
      <c r="K19" s="186">
        <v>0</v>
      </c>
      <c r="L19" s="186">
        <v>0</v>
      </c>
      <c r="M19" s="186">
        <v>0</v>
      </c>
      <c r="N19" s="186">
        <v>0</v>
      </c>
      <c r="O19" s="186"/>
      <c r="P19" s="186">
        <f>8626</f>
        <v>8626</v>
      </c>
      <c r="Q19" s="186"/>
      <c r="R19" s="186"/>
      <c r="S19" s="186"/>
      <c r="T19" s="186"/>
      <c r="U19" s="186"/>
      <c r="V19" s="186"/>
      <c r="W19" s="186">
        <v>0</v>
      </c>
      <c r="X19" s="186"/>
      <c r="Y19" s="186">
        <v>0</v>
      </c>
      <c r="Z19" s="186"/>
      <c r="AA19" s="186">
        <f t="shared" si="2"/>
        <v>10306</v>
      </c>
      <c r="AB19" s="186">
        <f t="shared" si="3"/>
        <v>145380.74</v>
      </c>
    </row>
    <row r="20" spans="1:28" x14ac:dyDescent="0.25">
      <c r="A20" s="192">
        <v>6</v>
      </c>
      <c r="B20" s="193" t="s">
        <v>27</v>
      </c>
      <c r="C20" s="186">
        <v>0</v>
      </c>
      <c r="D20" s="186">
        <v>0</v>
      </c>
      <c r="E20" s="186">
        <v>0</v>
      </c>
      <c r="F20" s="186">
        <v>0</v>
      </c>
      <c r="G20" s="186">
        <v>145882.29999999999</v>
      </c>
      <c r="H20" s="186">
        <v>0</v>
      </c>
      <c r="I20" s="186">
        <v>0</v>
      </c>
      <c r="J20" s="186">
        <v>0</v>
      </c>
      <c r="K20" s="186">
        <v>0</v>
      </c>
      <c r="L20" s="186">
        <v>0</v>
      </c>
      <c r="M20" s="186">
        <v>0</v>
      </c>
      <c r="N20" s="186">
        <v>0</v>
      </c>
      <c r="O20" s="186"/>
      <c r="P20" s="186"/>
      <c r="Q20" s="186"/>
      <c r="R20" s="186"/>
      <c r="S20" s="186"/>
      <c r="T20" s="186"/>
      <c r="U20" s="186"/>
      <c r="V20" s="186"/>
      <c r="W20" s="186"/>
      <c r="X20" s="186"/>
      <c r="Y20" s="186">
        <v>0</v>
      </c>
      <c r="Z20" s="186"/>
      <c r="AA20" s="186">
        <f t="shared" si="2"/>
        <v>145882.29999999999</v>
      </c>
      <c r="AB20" s="186">
        <f t="shared" si="3"/>
        <v>0</v>
      </c>
    </row>
    <row r="21" spans="1:28" hidden="1" x14ac:dyDescent="0.25">
      <c r="A21" s="192">
        <v>8</v>
      </c>
      <c r="B21" s="193" t="s">
        <v>26</v>
      </c>
      <c r="C21" s="186"/>
      <c r="D21" s="186"/>
      <c r="E21" s="186"/>
      <c r="F21" s="186"/>
      <c r="G21" s="186"/>
      <c r="H21" s="186"/>
      <c r="I21" s="186"/>
      <c r="J21" s="186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186"/>
      <c r="Y21" s="186"/>
      <c r="Z21" s="186"/>
      <c r="AA21" s="186">
        <f t="shared" si="2"/>
        <v>0</v>
      </c>
      <c r="AB21" s="186">
        <f t="shared" si="3"/>
        <v>0</v>
      </c>
    </row>
    <row r="22" spans="1:28" hidden="1" x14ac:dyDescent="0.25">
      <c r="A22" s="192">
        <v>9</v>
      </c>
      <c r="B22" s="193" t="s">
        <v>248</v>
      </c>
      <c r="C22" s="186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  <c r="X22" s="186"/>
      <c r="Y22" s="186"/>
      <c r="Z22" s="186"/>
      <c r="AA22" s="186">
        <f t="shared" si="2"/>
        <v>0</v>
      </c>
      <c r="AB22" s="186">
        <f t="shared" si="3"/>
        <v>0</v>
      </c>
    </row>
    <row r="23" spans="1:28" hidden="1" x14ac:dyDescent="0.25">
      <c r="A23" s="192">
        <v>10</v>
      </c>
      <c r="B23" s="193" t="s">
        <v>249</v>
      </c>
      <c r="C23" s="186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>
        <f t="shared" si="2"/>
        <v>0</v>
      </c>
      <c r="AB23" s="186">
        <f t="shared" si="3"/>
        <v>0</v>
      </c>
    </row>
    <row r="24" spans="1:28" hidden="1" x14ac:dyDescent="0.25">
      <c r="A24" s="192">
        <v>11</v>
      </c>
      <c r="B24" s="193" t="s">
        <v>250</v>
      </c>
      <c r="C24" s="186"/>
      <c r="D24" s="186"/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  <c r="X24" s="186"/>
      <c r="Y24" s="186"/>
      <c r="Z24" s="186"/>
      <c r="AA24" s="186">
        <f t="shared" si="2"/>
        <v>0</v>
      </c>
      <c r="AB24" s="186">
        <f t="shared" si="3"/>
        <v>0</v>
      </c>
    </row>
    <row r="25" spans="1:28" x14ac:dyDescent="0.25">
      <c r="A25" s="192">
        <v>7</v>
      </c>
      <c r="B25" s="193" t="s">
        <v>29</v>
      </c>
      <c r="C25" s="186">
        <v>0</v>
      </c>
      <c r="D25" s="186">
        <v>0</v>
      </c>
      <c r="E25" s="186">
        <v>0</v>
      </c>
      <c r="F25" s="186">
        <v>0</v>
      </c>
      <c r="G25" s="186">
        <v>0</v>
      </c>
      <c r="H25" s="186">
        <v>0</v>
      </c>
      <c r="I25" s="186">
        <v>0</v>
      </c>
      <c r="J25" s="186">
        <v>0</v>
      </c>
      <c r="K25" s="186">
        <v>0</v>
      </c>
      <c r="L25" s="186">
        <v>0</v>
      </c>
      <c r="M25" s="186">
        <v>0</v>
      </c>
      <c r="N25" s="186">
        <v>0</v>
      </c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186">
        <v>0</v>
      </c>
      <c r="Z25" s="186"/>
      <c r="AA25" s="186">
        <f t="shared" si="2"/>
        <v>0</v>
      </c>
      <c r="AB25" s="186">
        <f t="shared" si="3"/>
        <v>0</v>
      </c>
    </row>
    <row r="26" spans="1:28" x14ac:dyDescent="0.25">
      <c r="A26" s="192">
        <v>8</v>
      </c>
      <c r="B26" s="193" t="s">
        <v>31</v>
      </c>
      <c r="C26" s="186">
        <v>0</v>
      </c>
      <c r="D26" s="186">
        <v>26160.04</v>
      </c>
      <c r="E26" s="186">
        <f>8454.42</f>
        <v>8454.42</v>
      </c>
      <c r="F26" s="186">
        <v>0</v>
      </c>
      <c r="G26" s="186">
        <v>12116</v>
      </c>
      <c r="H26" s="186">
        <f>18283.86</f>
        <v>18283.86</v>
      </c>
      <c r="I26" s="186">
        <v>0</v>
      </c>
      <c r="J26" s="186">
        <v>0</v>
      </c>
      <c r="K26" s="186">
        <v>0</v>
      </c>
      <c r="L26" s="186">
        <v>0</v>
      </c>
      <c r="M26" s="186">
        <v>0</v>
      </c>
      <c r="N26" s="186">
        <v>0</v>
      </c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>
        <v>0</v>
      </c>
      <c r="Z26" s="186"/>
      <c r="AA26" s="186">
        <f t="shared" si="2"/>
        <v>20570.419999999998</v>
      </c>
      <c r="AB26" s="186">
        <f t="shared" si="3"/>
        <v>44443.9</v>
      </c>
    </row>
    <row r="27" spans="1:28" x14ac:dyDescent="0.25">
      <c r="A27" s="192">
        <v>9</v>
      </c>
      <c r="B27" s="193" t="s">
        <v>251</v>
      </c>
      <c r="C27" s="186">
        <v>0</v>
      </c>
      <c r="D27" s="186">
        <v>0</v>
      </c>
      <c r="E27" s="186">
        <v>0</v>
      </c>
      <c r="F27" s="186">
        <v>0</v>
      </c>
      <c r="G27" s="186">
        <v>0</v>
      </c>
      <c r="H27" s="186">
        <v>0</v>
      </c>
      <c r="I27" s="186">
        <v>0</v>
      </c>
      <c r="J27" s="186">
        <v>0</v>
      </c>
      <c r="K27" s="186">
        <v>0</v>
      </c>
      <c r="L27" s="186">
        <v>0</v>
      </c>
      <c r="M27" s="186">
        <v>0</v>
      </c>
      <c r="N27" s="186">
        <v>0</v>
      </c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>
        <f t="shared" si="2"/>
        <v>0</v>
      </c>
      <c r="AB27" s="186">
        <f t="shared" si="3"/>
        <v>0</v>
      </c>
    </row>
    <row r="28" spans="1:28" x14ac:dyDescent="0.25">
      <c r="A28" s="192">
        <v>10</v>
      </c>
      <c r="B28" s="193" t="s">
        <v>338</v>
      </c>
      <c r="C28" s="186">
        <v>0</v>
      </c>
      <c r="D28" s="186">
        <v>0</v>
      </c>
      <c r="E28" s="186">
        <v>0</v>
      </c>
      <c r="F28" s="186">
        <v>0</v>
      </c>
      <c r="G28" s="186">
        <v>0</v>
      </c>
      <c r="H28" s="186">
        <v>0</v>
      </c>
      <c r="I28" s="186">
        <v>0</v>
      </c>
      <c r="J28" s="186">
        <v>0</v>
      </c>
      <c r="K28" s="186">
        <v>0</v>
      </c>
      <c r="L28" s="186">
        <v>0</v>
      </c>
      <c r="M28" s="186">
        <v>0</v>
      </c>
      <c r="N28" s="186">
        <v>0</v>
      </c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>
        <f t="shared" si="2"/>
        <v>0</v>
      </c>
      <c r="AB28" s="186">
        <f t="shared" si="3"/>
        <v>0</v>
      </c>
    </row>
    <row r="29" spans="1:28" x14ac:dyDescent="0.25">
      <c r="A29" s="192">
        <v>11</v>
      </c>
      <c r="B29" s="188" t="s">
        <v>28</v>
      </c>
      <c r="C29" s="186">
        <v>0</v>
      </c>
      <c r="D29" s="186">
        <v>0</v>
      </c>
      <c r="E29" s="186">
        <v>0</v>
      </c>
      <c r="F29" s="186">
        <v>0</v>
      </c>
      <c r="G29" s="186">
        <v>0</v>
      </c>
      <c r="H29" s="186">
        <v>0</v>
      </c>
      <c r="I29" s="186">
        <v>0</v>
      </c>
      <c r="J29" s="186">
        <v>0</v>
      </c>
      <c r="K29" s="186">
        <v>0</v>
      </c>
      <c r="L29" s="186">
        <v>0</v>
      </c>
      <c r="M29" s="186">
        <v>0</v>
      </c>
      <c r="N29" s="186">
        <v>0</v>
      </c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186"/>
      <c r="Z29" s="186"/>
      <c r="AA29" s="186">
        <f t="shared" si="2"/>
        <v>0</v>
      </c>
      <c r="AB29" s="186">
        <f t="shared" si="3"/>
        <v>0</v>
      </c>
    </row>
    <row r="30" spans="1:28" ht="15.75" thickBot="1" x14ac:dyDescent="0.3">
      <c r="A30" s="192">
        <v>12</v>
      </c>
      <c r="B30" s="188" t="s">
        <v>345</v>
      </c>
      <c r="C30" s="186">
        <v>0</v>
      </c>
      <c r="D30" s="186">
        <v>0</v>
      </c>
      <c r="E30" s="186">
        <v>0</v>
      </c>
      <c r="F30" s="186">
        <v>0</v>
      </c>
      <c r="G30" s="186">
        <v>0</v>
      </c>
      <c r="H30" s="186">
        <v>0</v>
      </c>
      <c r="I30" s="186">
        <v>0</v>
      </c>
      <c r="J30" s="186">
        <v>0</v>
      </c>
      <c r="K30" s="186">
        <v>0</v>
      </c>
      <c r="L30" s="186">
        <v>0</v>
      </c>
      <c r="M30" s="186">
        <v>0</v>
      </c>
      <c r="N30" s="186">
        <v>0</v>
      </c>
      <c r="O30" s="186">
        <v>0</v>
      </c>
      <c r="P30" s="186">
        <v>0</v>
      </c>
      <c r="Q30" s="186">
        <v>0</v>
      </c>
      <c r="R30" s="186">
        <v>0</v>
      </c>
      <c r="S30" s="186">
        <v>0</v>
      </c>
      <c r="T30" s="186">
        <v>0</v>
      </c>
      <c r="U30" s="186">
        <v>0</v>
      </c>
      <c r="V30" s="186">
        <v>0</v>
      </c>
      <c r="W30" s="186">
        <v>0</v>
      </c>
      <c r="X30" s="186">
        <v>0</v>
      </c>
      <c r="Y30" s="186">
        <v>0</v>
      </c>
      <c r="Z30" s="186">
        <v>0</v>
      </c>
      <c r="AA30" s="186">
        <f t="shared" si="2"/>
        <v>0</v>
      </c>
      <c r="AB30" s="186">
        <f t="shared" si="3"/>
        <v>0</v>
      </c>
    </row>
    <row r="31" spans="1:28" ht="15.75" hidden="1" thickBot="1" x14ac:dyDescent="0.3">
      <c r="A31" s="194">
        <v>22</v>
      </c>
      <c r="B31" s="188" t="s">
        <v>252</v>
      </c>
      <c r="C31" s="186">
        <v>0</v>
      </c>
      <c r="D31" s="186">
        <v>0</v>
      </c>
      <c r="E31" s="186">
        <v>0</v>
      </c>
      <c r="F31" s="186">
        <v>0</v>
      </c>
      <c r="G31" s="186">
        <v>0</v>
      </c>
      <c r="H31" s="186">
        <v>0</v>
      </c>
      <c r="I31" s="186">
        <v>0</v>
      </c>
      <c r="J31" s="186">
        <v>0</v>
      </c>
      <c r="K31" s="186">
        <v>0</v>
      </c>
      <c r="L31" s="186">
        <v>0</v>
      </c>
      <c r="M31" s="186">
        <v>0</v>
      </c>
      <c r="N31" s="186">
        <v>0</v>
      </c>
      <c r="O31" s="186">
        <v>0</v>
      </c>
      <c r="P31" s="186">
        <v>0</v>
      </c>
      <c r="Q31" s="186">
        <v>0</v>
      </c>
      <c r="R31" s="186">
        <v>0</v>
      </c>
      <c r="S31" s="186">
        <v>0</v>
      </c>
      <c r="T31" s="186">
        <v>0</v>
      </c>
      <c r="U31" s="186">
        <v>0</v>
      </c>
      <c r="V31" s="186">
        <v>0</v>
      </c>
      <c r="W31" s="186">
        <v>0</v>
      </c>
      <c r="X31" s="186">
        <v>0</v>
      </c>
      <c r="Y31" s="186">
        <v>0</v>
      </c>
      <c r="Z31" s="186">
        <v>0</v>
      </c>
      <c r="AA31" s="186">
        <v>0</v>
      </c>
      <c r="AB31" s="186">
        <v>0</v>
      </c>
    </row>
    <row r="32" spans="1:28" ht="15.75" thickBot="1" x14ac:dyDescent="0.3">
      <c r="A32" s="867" t="s">
        <v>72</v>
      </c>
      <c r="B32" s="867"/>
      <c r="C32" s="195">
        <f>SUM(C12:C30)</f>
        <v>5341500.1399999997</v>
      </c>
      <c r="D32" s="195">
        <f t="shared" ref="D32:Z32" si="4">SUM(D12:D30)</f>
        <v>6481268.8300000001</v>
      </c>
      <c r="E32" s="195">
        <f t="shared" si="4"/>
        <v>7453704.4900000012</v>
      </c>
      <c r="F32" s="195">
        <f t="shared" si="4"/>
        <v>6288249.2000000002</v>
      </c>
      <c r="G32" s="195">
        <f t="shared" si="4"/>
        <v>6025919.4800000004</v>
      </c>
      <c r="H32" s="195">
        <f>SUM(H12:H30)</f>
        <v>5635890.6200000001</v>
      </c>
      <c r="I32" s="195">
        <f t="shared" si="4"/>
        <v>5072289.47</v>
      </c>
      <c r="J32" s="195">
        <f t="shared" si="4"/>
        <v>7218928.3400000008</v>
      </c>
      <c r="K32" s="195">
        <f t="shared" si="4"/>
        <v>7370236.040000001</v>
      </c>
      <c r="L32" s="195">
        <f t="shared" si="4"/>
        <v>5774948.2600000007</v>
      </c>
      <c r="M32" s="195">
        <f t="shared" si="4"/>
        <v>4765180.43</v>
      </c>
      <c r="N32" s="195">
        <f t="shared" si="4"/>
        <v>5033542.99</v>
      </c>
      <c r="O32" s="195">
        <f>SUM(O12:O30)</f>
        <v>6425771.9400000004</v>
      </c>
      <c r="P32" s="195">
        <f t="shared" si="4"/>
        <v>6929632.8100000005</v>
      </c>
      <c r="Q32" s="195">
        <f>SUM(Q12:Q30)</f>
        <v>4535940.6100000003</v>
      </c>
      <c r="R32" s="195">
        <f t="shared" si="4"/>
        <v>4636133.8999999994</v>
      </c>
      <c r="S32" s="195">
        <f t="shared" si="4"/>
        <v>0</v>
      </c>
      <c r="T32" s="195">
        <f t="shared" si="4"/>
        <v>0</v>
      </c>
      <c r="U32" s="195">
        <f t="shared" si="4"/>
        <v>0</v>
      </c>
      <c r="V32" s="195">
        <f t="shared" si="4"/>
        <v>0</v>
      </c>
      <c r="W32" s="195">
        <f t="shared" si="4"/>
        <v>0</v>
      </c>
      <c r="X32" s="195">
        <f t="shared" si="4"/>
        <v>0</v>
      </c>
      <c r="Y32" s="195">
        <f>SUM(Y12:Y30)</f>
        <v>0</v>
      </c>
      <c r="Z32" s="195">
        <f t="shared" si="4"/>
        <v>0</v>
      </c>
      <c r="AA32" s="195">
        <f>SUM(C32+E32+G32+I32+K32+M32+O32+Q32+S32+U32+W32+Y32)</f>
        <v>46990542.599999994</v>
      </c>
      <c r="AB32" s="195">
        <f>SUM(D32+F32+H32+J32+L32+N32+P32+R32+T32+V32+X32+Z32)</f>
        <v>47998594.950000003</v>
      </c>
    </row>
    <row r="33" spans="1:12" ht="18.75" x14ac:dyDescent="0.3">
      <c r="A33" s="121"/>
      <c r="B33" s="122"/>
      <c r="C33" s="123"/>
      <c r="D33" s="123"/>
      <c r="E33" s="117"/>
      <c r="F33" s="123"/>
      <c r="G33" s="117"/>
      <c r="H33" s="117"/>
      <c r="I33" s="117"/>
      <c r="J33" s="117"/>
      <c r="K33" s="117"/>
      <c r="L33" s="122"/>
    </row>
    <row r="34" spans="1:12" ht="18.75" x14ac:dyDescent="0.3">
      <c r="A34" s="196" t="s">
        <v>52</v>
      </c>
      <c r="B34" s="197"/>
      <c r="C34" s="198"/>
      <c r="D34" s="198"/>
      <c r="E34" s="199"/>
      <c r="F34" s="198"/>
      <c r="G34" s="199"/>
      <c r="H34" s="199"/>
      <c r="I34" s="117"/>
      <c r="J34" s="117"/>
      <c r="K34" s="117"/>
      <c r="L34" s="122"/>
    </row>
    <row r="35" spans="1:12" ht="18.75" x14ac:dyDescent="0.3">
      <c r="A35" s="196" t="s">
        <v>253</v>
      </c>
      <c r="B35" s="197"/>
      <c r="C35" s="198"/>
      <c r="D35" s="198"/>
      <c r="E35" s="199"/>
      <c r="F35" s="198"/>
      <c r="G35" s="199"/>
      <c r="H35" s="199"/>
      <c r="I35" s="117"/>
      <c r="J35" s="117"/>
      <c r="K35" s="117"/>
      <c r="L35" s="122"/>
    </row>
    <row r="36" spans="1:12" ht="18.75" x14ac:dyDescent="0.3">
      <c r="A36" s="124"/>
      <c r="B36" s="122"/>
      <c r="C36" s="123"/>
      <c r="D36" s="123"/>
      <c r="E36" s="117"/>
      <c r="F36" s="123"/>
      <c r="G36" s="117"/>
      <c r="H36" s="117"/>
      <c r="I36" s="117"/>
      <c r="J36" s="117"/>
      <c r="K36" s="117"/>
      <c r="L36" s="122"/>
    </row>
    <row r="37" spans="1:12" ht="18.75" x14ac:dyDescent="0.3">
      <c r="B37" s="122"/>
      <c r="C37" s="123"/>
      <c r="D37" s="123"/>
      <c r="E37" s="117"/>
      <c r="F37" s="123"/>
      <c r="G37" s="117"/>
      <c r="H37" s="117"/>
      <c r="I37" s="117"/>
      <c r="J37" s="117"/>
      <c r="K37" s="117"/>
      <c r="L37" s="122"/>
    </row>
    <row r="38" spans="1:12" ht="18.75" x14ac:dyDescent="0.3">
      <c r="B38" s="125"/>
      <c r="C38" s="126"/>
      <c r="D38" s="126"/>
      <c r="E38" s="126"/>
      <c r="F38" s="126"/>
      <c r="G38" s="117"/>
      <c r="H38" s="117"/>
      <c r="I38" s="117"/>
      <c r="J38" s="117"/>
      <c r="K38" s="117"/>
      <c r="L38" s="125"/>
    </row>
    <row r="39" spans="1:12" ht="18.75" x14ac:dyDescent="0.3">
      <c r="B39" s="125"/>
      <c r="C39" s="126"/>
      <c r="D39" s="126"/>
      <c r="E39" s="126"/>
      <c r="F39" s="126"/>
      <c r="G39" s="117"/>
      <c r="H39" s="117"/>
      <c r="I39" s="117"/>
      <c r="J39" s="117"/>
      <c r="K39" s="117"/>
      <c r="L39" s="125"/>
    </row>
    <row r="40" spans="1:12" ht="18.75" x14ac:dyDescent="0.25">
      <c r="B40" s="127"/>
      <c r="C40" s="128"/>
      <c r="D40" s="128"/>
      <c r="E40" s="128"/>
      <c r="F40" s="128"/>
      <c r="G40" s="128"/>
      <c r="H40" s="128"/>
      <c r="I40" s="128"/>
      <c r="J40" s="128"/>
      <c r="K40" s="128"/>
      <c r="L40" s="127"/>
    </row>
    <row r="41" spans="1:12" ht="18.75" x14ac:dyDescent="0.3">
      <c r="B41" s="122"/>
      <c r="C41" s="123"/>
      <c r="D41" s="129"/>
      <c r="E41" s="117"/>
      <c r="F41" s="130"/>
      <c r="G41" s="117"/>
      <c r="H41" s="117"/>
      <c r="I41" s="117"/>
      <c r="J41" s="117"/>
      <c r="K41" s="117"/>
      <c r="L41" s="122"/>
    </row>
    <row r="42" spans="1:12" ht="18.75" x14ac:dyDescent="0.3">
      <c r="B42" s="122"/>
      <c r="C42" s="123"/>
      <c r="D42" s="123"/>
      <c r="E42" s="123"/>
      <c r="F42" s="123"/>
      <c r="G42" s="117"/>
      <c r="H42" s="117"/>
      <c r="I42" s="117"/>
      <c r="J42" s="117"/>
      <c r="K42" s="117"/>
      <c r="L42" s="122"/>
    </row>
    <row r="43" spans="1:12" ht="18.75" x14ac:dyDescent="0.3">
      <c r="B43" s="122"/>
      <c r="C43" s="117"/>
      <c r="D43" s="117"/>
      <c r="E43" s="117"/>
      <c r="F43" s="130"/>
      <c r="G43" s="117"/>
      <c r="H43" s="117"/>
      <c r="I43" s="117"/>
      <c r="J43" s="117"/>
      <c r="K43" s="117"/>
      <c r="L43" s="122"/>
    </row>
    <row r="44" spans="1:12" ht="18.75" x14ac:dyDescent="0.3">
      <c r="B44" s="122"/>
      <c r="C44" s="117"/>
      <c r="D44" s="117"/>
      <c r="E44" s="117"/>
      <c r="F44" s="130"/>
      <c r="G44" s="117"/>
      <c r="H44" s="117"/>
      <c r="I44" s="117"/>
      <c r="J44" s="117"/>
      <c r="K44" s="117"/>
      <c r="L44" s="122"/>
    </row>
    <row r="45" spans="1:12" ht="18.75" x14ac:dyDescent="0.3">
      <c r="B45" s="122"/>
      <c r="C45" s="117"/>
      <c r="D45" s="117"/>
      <c r="E45" s="117"/>
      <c r="F45" s="130"/>
      <c r="G45" s="117"/>
      <c r="H45" s="117"/>
      <c r="I45" s="117"/>
      <c r="J45" s="117"/>
      <c r="K45" s="117"/>
      <c r="L45" s="122"/>
    </row>
    <row r="46" spans="1:12" ht="18.75" x14ac:dyDescent="0.3">
      <c r="B46" s="122"/>
      <c r="C46" s="117"/>
      <c r="D46" s="117"/>
      <c r="E46" s="117"/>
      <c r="F46" s="130"/>
      <c r="G46" s="117"/>
      <c r="H46" s="117"/>
      <c r="I46" s="117"/>
      <c r="J46" s="117"/>
      <c r="K46" s="117"/>
      <c r="L46" s="122"/>
    </row>
    <row r="47" spans="1:12" ht="18.75" x14ac:dyDescent="0.3">
      <c r="B47" s="122"/>
      <c r="C47" s="117"/>
      <c r="D47" s="117"/>
      <c r="E47" s="117"/>
      <c r="F47" s="130"/>
      <c r="G47" s="117"/>
      <c r="H47" s="117"/>
      <c r="I47" s="117"/>
      <c r="J47" s="117"/>
      <c r="K47" s="117"/>
      <c r="L47" s="122"/>
    </row>
    <row r="48" spans="1:12" ht="18.75" x14ac:dyDescent="0.3">
      <c r="B48" s="122"/>
      <c r="C48" s="117"/>
      <c r="D48" s="117"/>
      <c r="E48" s="117"/>
      <c r="F48" s="130"/>
      <c r="G48" s="117"/>
      <c r="H48" s="117"/>
      <c r="I48" s="117"/>
      <c r="J48" s="117"/>
      <c r="K48" s="117"/>
      <c r="L48" s="122"/>
    </row>
    <row r="49" spans="2:12" ht="18.75" x14ac:dyDescent="0.3">
      <c r="B49" s="122"/>
      <c r="C49" s="117"/>
      <c r="D49" s="117"/>
      <c r="E49" s="117"/>
      <c r="F49" s="130"/>
      <c r="G49" s="117"/>
      <c r="H49" s="117"/>
      <c r="I49" s="117"/>
      <c r="J49" s="117"/>
      <c r="K49" s="117"/>
      <c r="L49" s="122"/>
    </row>
    <row r="50" spans="2:12" ht="18.75" x14ac:dyDescent="0.3">
      <c r="B50" s="122"/>
      <c r="C50" s="117"/>
      <c r="D50" s="117"/>
      <c r="E50" s="117"/>
      <c r="F50" s="130"/>
      <c r="G50" s="117"/>
      <c r="H50" s="117"/>
      <c r="I50" s="117"/>
      <c r="J50" s="117"/>
      <c r="K50" s="117"/>
      <c r="L50" s="122"/>
    </row>
    <row r="51" spans="2:12" ht="18.75" x14ac:dyDescent="0.3">
      <c r="B51" s="122"/>
      <c r="C51" s="117"/>
      <c r="D51" s="117"/>
      <c r="E51" s="117"/>
      <c r="F51" s="130"/>
      <c r="G51" s="117"/>
      <c r="H51" s="117"/>
      <c r="I51" s="117"/>
      <c r="J51" s="117"/>
      <c r="K51" s="117"/>
      <c r="L51" s="122"/>
    </row>
    <row r="52" spans="2:12" ht="18.75" x14ac:dyDescent="0.3">
      <c r="B52" s="122"/>
      <c r="C52" s="117"/>
      <c r="D52" s="117"/>
      <c r="E52" s="117"/>
      <c r="F52" s="130"/>
      <c r="G52" s="117"/>
      <c r="H52" s="117"/>
      <c r="I52" s="117"/>
      <c r="J52" s="117"/>
      <c r="K52" s="117"/>
      <c r="L52" s="122"/>
    </row>
    <row r="53" spans="2:12" ht="18.75" x14ac:dyDescent="0.3">
      <c r="B53" s="125"/>
      <c r="C53" s="126"/>
      <c r="D53" s="126"/>
      <c r="E53" s="126"/>
      <c r="F53" s="126"/>
      <c r="G53" s="117"/>
      <c r="H53" s="117"/>
      <c r="I53" s="117"/>
      <c r="J53" s="117"/>
      <c r="K53" s="117"/>
      <c r="L53" s="125"/>
    </row>
    <row r="54" spans="2:12" ht="18.75" x14ac:dyDescent="0.3">
      <c r="B54" s="125"/>
      <c r="C54" s="126"/>
      <c r="D54" s="126"/>
      <c r="E54" s="126"/>
      <c r="F54" s="126"/>
      <c r="G54" s="117"/>
      <c r="H54" s="117"/>
      <c r="I54" s="117"/>
      <c r="J54" s="117"/>
      <c r="K54" s="117"/>
      <c r="L54" s="125"/>
    </row>
    <row r="55" spans="2:12" ht="18.75" x14ac:dyDescent="0.25">
      <c r="B55" s="127"/>
      <c r="C55" s="128"/>
      <c r="D55" s="128"/>
      <c r="E55" s="128"/>
      <c r="F55" s="128"/>
      <c r="G55" s="128"/>
      <c r="H55" s="128"/>
      <c r="I55" s="128"/>
      <c r="J55" s="128"/>
      <c r="K55" s="128"/>
      <c r="L55" s="127"/>
    </row>
    <row r="56" spans="2:12" ht="18.75" x14ac:dyDescent="0.3">
      <c r="B56" s="122"/>
      <c r="C56" s="123"/>
      <c r="D56" s="123"/>
      <c r="E56" s="123"/>
      <c r="F56" s="130"/>
      <c r="G56" s="117"/>
      <c r="H56" s="117"/>
      <c r="I56" s="117"/>
      <c r="J56" s="117"/>
      <c r="K56" s="117"/>
      <c r="L56" s="122"/>
    </row>
    <row r="57" spans="2:12" ht="18.75" x14ac:dyDescent="0.3">
      <c r="B57" s="122"/>
      <c r="C57" s="123"/>
      <c r="D57" s="123"/>
      <c r="E57" s="123"/>
      <c r="F57" s="130"/>
      <c r="G57" s="117"/>
      <c r="H57" s="117"/>
      <c r="I57" s="117"/>
      <c r="J57" s="117"/>
      <c r="K57" s="117"/>
      <c r="L57" s="122"/>
    </row>
    <row r="58" spans="2:12" ht="18.75" x14ac:dyDescent="0.3">
      <c r="B58" s="122"/>
      <c r="C58" s="123"/>
      <c r="D58" s="123"/>
      <c r="E58" s="123"/>
      <c r="F58" s="130"/>
      <c r="G58" s="117"/>
      <c r="H58" s="117"/>
      <c r="I58" s="117"/>
      <c r="J58" s="117"/>
      <c r="K58" s="117"/>
      <c r="L58" s="122"/>
    </row>
    <row r="59" spans="2:12" ht="18.75" x14ac:dyDescent="0.3">
      <c r="B59" s="122"/>
      <c r="C59" s="123"/>
      <c r="D59" s="123"/>
      <c r="E59" s="123"/>
      <c r="F59" s="130"/>
      <c r="G59" s="117"/>
      <c r="H59" s="117"/>
      <c r="I59" s="117"/>
      <c r="J59" s="117"/>
      <c r="K59" s="117"/>
      <c r="L59" s="122"/>
    </row>
    <row r="60" spans="2:12" ht="18.75" x14ac:dyDescent="0.3">
      <c r="B60" s="122"/>
      <c r="C60" s="123"/>
      <c r="D60" s="123"/>
      <c r="E60" s="123"/>
      <c r="F60" s="130"/>
      <c r="G60" s="117"/>
      <c r="H60" s="117"/>
      <c r="I60" s="117"/>
      <c r="J60" s="117"/>
      <c r="K60" s="117"/>
      <c r="L60" s="122"/>
    </row>
    <row r="61" spans="2:12" ht="18.75" x14ac:dyDescent="0.3">
      <c r="B61" s="122"/>
      <c r="C61" s="123"/>
      <c r="D61" s="123"/>
      <c r="E61" s="123"/>
      <c r="F61" s="130"/>
      <c r="G61" s="117"/>
      <c r="H61" s="117"/>
      <c r="I61" s="117"/>
      <c r="J61" s="117"/>
      <c r="K61" s="117"/>
      <c r="L61" s="122"/>
    </row>
    <row r="62" spans="2:12" ht="18.75" x14ac:dyDescent="0.3">
      <c r="B62" s="122"/>
      <c r="C62" s="123"/>
      <c r="D62" s="123"/>
      <c r="E62" s="123"/>
      <c r="F62" s="130"/>
      <c r="G62" s="117"/>
      <c r="H62" s="117"/>
      <c r="I62" s="117"/>
      <c r="J62" s="117"/>
      <c r="K62" s="117"/>
      <c r="L62" s="122"/>
    </row>
    <row r="63" spans="2:12" ht="18.75" x14ac:dyDescent="0.3">
      <c r="B63" s="122"/>
      <c r="C63" s="123"/>
      <c r="D63" s="123"/>
      <c r="E63" s="123"/>
      <c r="F63" s="130"/>
      <c r="G63" s="117"/>
      <c r="H63" s="117"/>
      <c r="I63" s="117"/>
      <c r="J63" s="117"/>
      <c r="K63" s="117"/>
      <c r="L63" s="122"/>
    </row>
    <row r="64" spans="2:12" ht="18.75" x14ac:dyDescent="0.3">
      <c r="B64" s="122"/>
      <c r="C64" s="123"/>
      <c r="D64" s="123"/>
      <c r="E64" s="123"/>
      <c r="F64" s="130"/>
      <c r="G64" s="117"/>
      <c r="H64" s="117"/>
      <c r="I64" s="117"/>
      <c r="J64" s="117"/>
      <c r="K64" s="117"/>
      <c r="L64" s="122"/>
    </row>
    <row r="65" spans="2:12" ht="18.75" x14ac:dyDescent="0.3">
      <c r="B65" s="122"/>
      <c r="C65" s="123"/>
      <c r="D65" s="123"/>
      <c r="E65" s="123"/>
      <c r="F65" s="130"/>
      <c r="G65" s="117"/>
      <c r="H65" s="117"/>
      <c r="I65" s="117"/>
      <c r="J65" s="117"/>
      <c r="K65" s="117"/>
      <c r="L65" s="122"/>
    </row>
    <row r="66" spans="2:12" ht="18.75" x14ac:dyDescent="0.3">
      <c r="B66" s="122"/>
      <c r="C66" s="123"/>
      <c r="D66" s="123"/>
      <c r="E66" s="123"/>
      <c r="F66" s="130"/>
      <c r="G66" s="117"/>
      <c r="H66" s="117"/>
      <c r="I66" s="117"/>
      <c r="J66" s="117"/>
      <c r="K66" s="117"/>
      <c r="L66" s="122"/>
    </row>
    <row r="67" spans="2:12" ht="18.75" x14ac:dyDescent="0.3">
      <c r="B67" s="122"/>
      <c r="C67" s="123"/>
      <c r="D67" s="123"/>
      <c r="E67" s="123"/>
      <c r="F67" s="130"/>
      <c r="G67" s="117"/>
      <c r="H67" s="117"/>
      <c r="I67" s="117"/>
      <c r="J67" s="117"/>
      <c r="K67" s="117"/>
      <c r="L67" s="122"/>
    </row>
    <row r="68" spans="2:12" ht="18.75" x14ac:dyDescent="0.3">
      <c r="B68" s="125"/>
      <c r="C68" s="126"/>
      <c r="D68" s="126"/>
      <c r="E68" s="126"/>
      <c r="F68" s="126"/>
      <c r="G68" s="117"/>
      <c r="H68" s="117"/>
      <c r="I68" s="117"/>
      <c r="J68" s="117"/>
      <c r="K68" s="117"/>
      <c r="L68" s="125"/>
    </row>
    <row r="69" spans="2:12" ht="18.75" x14ac:dyDescent="0.3">
      <c r="B69" s="125"/>
      <c r="C69" s="126"/>
      <c r="D69" s="126"/>
      <c r="E69" s="126"/>
      <c r="F69" s="126"/>
      <c r="G69" s="117"/>
      <c r="H69" s="117"/>
      <c r="I69" s="117"/>
      <c r="J69" s="117"/>
      <c r="K69" s="117"/>
      <c r="L69" s="125"/>
    </row>
    <row r="70" spans="2:12" ht="18.75" x14ac:dyDescent="0.25">
      <c r="B70" s="127"/>
      <c r="C70" s="128"/>
      <c r="D70" s="128"/>
      <c r="E70" s="128"/>
      <c r="F70" s="128"/>
      <c r="G70" s="128"/>
      <c r="H70" s="128"/>
      <c r="I70" s="128"/>
      <c r="J70" s="128"/>
      <c r="K70" s="128"/>
      <c r="L70" s="127"/>
    </row>
    <row r="71" spans="2:12" ht="18.75" x14ac:dyDescent="0.3">
      <c r="B71" s="122"/>
      <c r="C71" s="131"/>
      <c r="D71" s="131"/>
      <c r="E71" s="123"/>
      <c r="F71" s="131"/>
      <c r="G71" s="117"/>
      <c r="H71" s="117"/>
      <c r="I71" s="117"/>
      <c r="J71" s="117"/>
      <c r="K71" s="117"/>
      <c r="L71" s="122"/>
    </row>
    <row r="72" spans="2:12" ht="18.75" x14ac:dyDescent="0.3">
      <c r="B72" s="122"/>
      <c r="C72" s="132"/>
      <c r="D72" s="132"/>
      <c r="E72" s="123"/>
      <c r="F72" s="131"/>
      <c r="G72" s="117"/>
      <c r="H72" s="117"/>
      <c r="I72" s="117"/>
      <c r="J72" s="117"/>
      <c r="K72" s="117"/>
      <c r="L72" s="122"/>
    </row>
    <row r="73" spans="2:12" ht="18.75" x14ac:dyDescent="0.3">
      <c r="B73" s="122"/>
      <c r="C73" s="131"/>
      <c r="D73" s="131"/>
      <c r="E73" s="123"/>
      <c r="F73" s="131"/>
      <c r="G73" s="117"/>
      <c r="H73" s="117"/>
      <c r="I73" s="117"/>
      <c r="J73" s="117"/>
      <c r="K73" s="117"/>
      <c r="L73" s="122"/>
    </row>
    <row r="74" spans="2:12" ht="18.75" x14ac:dyDescent="0.3">
      <c r="B74" s="122"/>
      <c r="C74" s="132"/>
      <c r="D74" s="132"/>
      <c r="E74" s="123"/>
      <c r="F74" s="132"/>
      <c r="G74" s="117"/>
      <c r="H74" s="117"/>
      <c r="I74" s="117"/>
      <c r="J74" s="117"/>
      <c r="K74" s="117"/>
      <c r="L74" s="122"/>
    </row>
    <row r="75" spans="2:12" ht="18.75" x14ac:dyDescent="0.3">
      <c r="B75" s="122"/>
      <c r="C75" s="131"/>
      <c r="D75" s="131"/>
      <c r="E75" s="123"/>
      <c r="F75" s="131"/>
      <c r="G75" s="117"/>
      <c r="H75" s="117"/>
      <c r="I75" s="117"/>
      <c r="J75" s="117"/>
      <c r="K75" s="117"/>
      <c r="L75" s="122"/>
    </row>
    <row r="76" spans="2:12" ht="18.75" x14ac:dyDescent="0.3">
      <c r="B76" s="122"/>
      <c r="C76" s="132"/>
      <c r="D76" s="132"/>
      <c r="E76" s="123"/>
      <c r="F76" s="132"/>
      <c r="G76" s="117"/>
      <c r="H76" s="117"/>
      <c r="I76" s="117"/>
      <c r="J76" s="117"/>
      <c r="K76" s="117"/>
      <c r="L76" s="122"/>
    </row>
    <row r="77" spans="2:12" ht="18.75" x14ac:dyDescent="0.3">
      <c r="B77" s="122"/>
      <c r="C77" s="123"/>
      <c r="D77" s="123"/>
      <c r="E77" s="123"/>
      <c r="F77" s="130"/>
      <c r="G77" s="117"/>
      <c r="H77" s="117"/>
      <c r="I77" s="117"/>
      <c r="J77" s="117"/>
      <c r="K77" s="117"/>
      <c r="L77" s="122"/>
    </row>
    <row r="78" spans="2:12" ht="18.75" x14ac:dyDescent="0.3">
      <c r="B78" s="122"/>
      <c r="C78" s="123"/>
      <c r="D78" s="123"/>
      <c r="E78" s="123"/>
      <c r="F78" s="130"/>
      <c r="G78" s="117"/>
      <c r="H78" s="117"/>
      <c r="I78" s="117"/>
      <c r="J78" s="117"/>
      <c r="K78" s="117"/>
      <c r="L78" s="122"/>
    </row>
    <row r="79" spans="2:12" ht="18.75" x14ac:dyDescent="0.3">
      <c r="B79" s="122"/>
      <c r="C79" s="123"/>
      <c r="D79" s="123"/>
      <c r="E79" s="123"/>
      <c r="F79" s="130"/>
      <c r="G79" s="117"/>
      <c r="H79" s="117"/>
      <c r="I79" s="117"/>
      <c r="J79" s="117"/>
      <c r="K79" s="117"/>
      <c r="L79" s="122"/>
    </row>
    <row r="80" spans="2:12" ht="18.75" x14ac:dyDescent="0.3">
      <c r="B80" s="122"/>
      <c r="C80" s="123"/>
      <c r="D80" s="123"/>
      <c r="E80" s="123"/>
      <c r="F80" s="130"/>
      <c r="G80" s="117"/>
      <c r="H80" s="117"/>
      <c r="I80" s="117"/>
      <c r="J80" s="117"/>
      <c r="K80" s="117"/>
      <c r="L80" s="122"/>
    </row>
    <row r="81" spans="2:12" ht="18.75" x14ac:dyDescent="0.3">
      <c r="B81" s="122"/>
      <c r="C81" s="123"/>
      <c r="D81" s="123"/>
      <c r="E81" s="123"/>
      <c r="F81" s="130"/>
      <c r="G81" s="117"/>
      <c r="H81" s="117"/>
      <c r="I81" s="117"/>
      <c r="J81" s="117"/>
      <c r="K81" s="117"/>
      <c r="L81" s="122"/>
    </row>
    <row r="82" spans="2:12" ht="18.75" x14ac:dyDescent="0.3">
      <c r="B82" s="122"/>
      <c r="C82" s="123"/>
      <c r="D82" s="123"/>
      <c r="E82" s="123"/>
      <c r="F82" s="130"/>
      <c r="G82" s="117"/>
      <c r="H82" s="117"/>
      <c r="I82" s="117"/>
      <c r="J82" s="117"/>
      <c r="K82" s="117"/>
      <c r="L82" s="122"/>
    </row>
    <row r="83" spans="2:12" ht="18.75" x14ac:dyDescent="0.3">
      <c r="B83" s="125"/>
      <c r="C83" s="126"/>
      <c r="D83" s="126"/>
      <c r="E83" s="126"/>
      <c r="F83" s="126"/>
      <c r="G83" s="117"/>
      <c r="H83" s="117"/>
      <c r="I83" s="117"/>
      <c r="J83" s="117"/>
      <c r="K83" s="117"/>
      <c r="L83" s="125"/>
    </row>
    <row r="84" spans="2:12" ht="18.75" x14ac:dyDescent="0.3">
      <c r="B84" s="133"/>
      <c r="C84" s="117"/>
      <c r="D84" s="117"/>
      <c r="E84" s="117"/>
      <c r="F84" s="117"/>
      <c r="G84" s="117"/>
      <c r="H84" s="117"/>
      <c r="I84" s="117"/>
      <c r="J84" s="117"/>
      <c r="K84" s="117"/>
      <c r="L84" s="133"/>
    </row>
    <row r="85" spans="2:12" ht="18.75" x14ac:dyDescent="0.25">
      <c r="B85" s="127"/>
      <c r="C85" s="128"/>
      <c r="D85" s="128"/>
      <c r="E85" s="128"/>
      <c r="F85" s="128"/>
      <c r="G85" s="128"/>
      <c r="H85" s="128"/>
      <c r="I85" s="128"/>
      <c r="J85" s="128"/>
      <c r="K85" s="128"/>
      <c r="L85" s="127"/>
    </row>
    <row r="86" spans="2:12" ht="18.75" x14ac:dyDescent="0.3">
      <c r="B86" s="122"/>
      <c r="C86" s="123"/>
      <c r="D86" s="123"/>
      <c r="E86" s="123"/>
      <c r="F86" s="130"/>
      <c r="G86" s="134"/>
      <c r="H86" s="134"/>
      <c r="I86" s="134"/>
      <c r="J86" s="134"/>
      <c r="K86" s="134"/>
      <c r="L86" s="122"/>
    </row>
    <row r="87" spans="2:12" ht="18.75" x14ac:dyDescent="0.3">
      <c r="B87" s="122"/>
      <c r="C87" s="123"/>
      <c r="D87" s="123"/>
      <c r="E87" s="123"/>
      <c r="F87" s="130"/>
      <c r="G87" s="134"/>
      <c r="H87" s="134"/>
      <c r="I87" s="134"/>
      <c r="J87" s="134"/>
      <c r="K87" s="134"/>
      <c r="L87" s="122"/>
    </row>
    <row r="88" spans="2:12" ht="18.75" x14ac:dyDescent="0.3">
      <c r="B88" s="122"/>
      <c r="C88" s="123"/>
      <c r="D88" s="123"/>
      <c r="E88" s="123"/>
      <c r="F88" s="130"/>
      <c r="G88" s="134"/>
      <c r="H88" s="134"/>
      <c r="I88" s="134"/>
      <c r="J88" s="134"/>
      <c r="K88" s="134"/>
      <c r="L88" s="122"/>
    </row>
    <row r="89" spans="2:12" ht="18.75" x14ac:dyDescent="0.3">
      <c r="B89" s="122"/>
      <c r="C89" s="123"/>
      <c r="D89" s="123"/>
      <c r="E89" s="123"/>
      <c r="F89" s="130"/>
      <c r="G89" s="134"/>
      <c r="H89" s="134"/>
      <c r="I89" s="134"/>
      <c r="J89" s="134"/>
      <c r="K89" s="134"/>
      <c r="L89" s="122"/>
    </row>
    <row r="90" spans="2:12" ht="18.75" x14ac:dyDescent="0.3">
      <c r="B90" s="122"/>
      <c r="C90" s="123"/>
      <c r="D90" s="123"/>
      <c r="E90" s="123"/>
      <c r="F90" s="130"/>
      <c r="G90" s="134"/>
      <c r="H90" s="134"/>
      <c r="I90" s="134"/>
      <c r="J90" s="134"/>
      <c r="K90" s="134"/>
      <c r="L90" s="122"/>
    </row>
    <row r="91" spans="2:12" ht="18.75" x14ac:dyDescent="0.3">
      <c r="B91" s="122"/>
      <c r="C91" s="123"/>
      <c r="D91" s="123"/>
      <c r="E91" s="123"/>
      <c r="F91" s="130"/>
      <c r="G91" s="134"/>
      <c r="H91" s="134"/>
      <c r="I91" s="134"/>
      <c r="J91" s="134"/>
      <c r="K91" s="134"/>
      <c r="L91" s="122"/>
    </row>
    <row r="92" spans="2:12" ht="18.75" x14ac:dyDescent="0.3">
      <c r="B92" s="122"/>
      <c r="C92" s="123"/>
      <c r="D92" s="123"/>
      <c r="E92" s="123"/>
      <c r="F92" s="130"/>
      <c r="G92" s="134"/>
      <c r="H92" s="134"/>
      <c r="I92" s="134"/>
      <c r="J92" s="134"/>
      <c r="K92" s="134"/>
      <c r="L92" s="122"/>
    </row>
    <row r="93" spans="2:12" ht="18.75" x14ac:dyDescent="0.3">
      <c r="B93" s="122"/>
      <c r="C93" s="123"/>
      <c r="D93" s="123"/>
      <c r="E93" s="123"/>
      <c r="F93" s="130"/>
      <c r="G93" s="134"/>
      <c r="H93" s="134"/>
      <c r="I93" s="134"/>
      <c r="J93" s="134"/>
      <c r="K93" s="134"/>
      <c r="L93" s="122"/>
    </row>
    <row r="94" spans="2:12" ht="18.75" x14ac:dyDescent="0.3">
      <c r="B94" s="122"/>
      <c r="C94" s="123"/>
      <c r="D94" s="123"/>
      <c r="E94" s="123"/>
      <c r="F94" s="130"/>
      <c r="G94" s="134"/>
      <c r="H94" s="134"/>
      <c r="I94" s="134"/>
      <c r="J94" s="134"/>
      <c r="K94" s="134"/>
      <c r="L94" s="122"/>
    </row>
    <row r="95" spans="2:12" ht="18.75" x14ac:dyDescent="0.3">
      <c r="B95" s="122"/>
      <c r="C95" s="123"/>
      <c r="D95" s="123"/>
      <c r="E95" s="123"/>
      <c r="F95" s="130"/>
      <c r="G95" s="134"/>
      <c r="H95" s="134"/>
      <c r="I95" s="134"/>
      <c r="J95" s="134"/>
      <c r="K95" s="134"/>
      <c r="L95" s="122"/>
    </row>
    <row r="96" spans="2:12" ht="18.75" x14ac:dyDescent="0.3">
      <c r="B96" s="122"/>
      <c r="C96" s="123"/>
      <c r="D96" s="123"/>
      <c r="E96" s="123"/>
      <c r="F96" s="130"/>
      <c r="G96" s="134"/>
      <c r="H96" s="134"/>
      <c r="I96" s="134"/>
      <c r="J96" s="134"/>
      <c r="K96" s="134"/>
      <c r="L96" s="122"/>
    </row>
    <row r="97" spans="2:12" ht="18.75" x14ac:dyDescent="0.3">
      <c r="B97" s="122"/>
      <c r="C97" s="123"/>
      <c r="D97" s="123"/>
      <c r="E97" s="123"/>
      <c r="F97" s="130"/>
      <c r="G97" s="134"/>
      <c r="H97" s="134"/>
      <c r="I97" s="134"/>
      <c r="J97" s="134"/>
      <c r="K97" s="134"/>
      <c r="L97" s="122"/>
    </row>
    <row r="98" spans="2:12" ht="18.75" x14ac:dyDescent="0.3">
      <c r="B98" s="125"/>
      <c r="C98" s="126"/>
      <c r="D98" s="126"/>
      <c r="E98" s="126"/>
      <c r="F98" s="126"/>
      <c r="G98" s="117"/>
      <c r="H98" s="117"/>
      <c r="I98" s="117"/>
      <c r="J98" s="117"/>
      <c r="K98" s="117"/>
      <c r="L98" s="125"/>
    </row>
    <row r="99" spans="2:12" ht="18.75" x14ac:dyDescent="0.3">
      <c r="B99" s="135"/>
      <c r="C99" s="136"/>
      <c r="D99" s="137"/>
      <c r="E99" s="138"/>
      <c r="F99" s="139"/>
      <c r="G99" s="140"/>
      <c r="H99" s="140"/>
      <c r="I99" s="140"/>
      <c r="J99" s="140"/>
      <c r="K99" s="140"/>
      <c r="L99" s="135"/>
    </row>
    <row r="100" spans="2:12" ht="18.75" x14ac:dyDescent="0.3">
      <c r="B100" s="141"/>
      <c r="C100" s="117"/>
      <c r="D100" s="117"/>
      <c r="E100" s="123"/>
      <c r="F100" s="123"/>
      <c r="G100" s="117"/>
      <c r="H100" s="117"/>
      <c r="I100" s="117"/>
      <c r="J100" s="117"/>
      <c r="K100" s="117"/>
      <c r="L100" s="141"/>
    </row>
    <row r="101" spans="2:12" ht="18.75" x14ac:dyDescent="0.25">
      <c r="B101" s="127"/>
      <c r="C101" s="128"/>
      <c r="D101" s="128"/>
      <c r="E101" s="128"/>
      <c r="F101" s="128"/>
      <c r="G101" s="128"/>
      <c r="H101" s="128"/>
      <c r="I101" s="128"/>
      <c r="J101" s="128"/>
      <c r="K101" s="128"/>
      <c r="L101" s="127"/>
    </row>
    <row r="102" spans="2:12" ht="18.75" x14ac:dyDescent="0.3">
      <c r="B102" s="122"/>
      <c r="C102" s="129"/>
      <c r="D102" s="142"/>
      <c r="E102" s="117"/>
      <c r="F102" s="129"/>
      <c r="G102" s="117"/>
      <c r="H102" s="117"/>
      <c r="I102" s="117"/>
      <c r="J102" s="117"/>
      <c r="K102" s="117"/>
      <c r="L102" s="122"/>
    </row>
    <row r="103" spans="2:12" ht="18.75" x14ac:dyDescent="0.3">
      <c r="B103" s="122"/>
      <c r="C103" s="129"/>
      <c r="D103" s="142"/>
      <c r="E103" s="117"/>
      <c r="F103" s="129"/>
      <c r="G103" s="117"/>
      <c r="H103" s="117"/>
      <c r="I103" s="117"/>
      <c r="J103" s="117"/>
      <c r="K103" s="117"/>
      <c r="L103" s="122"/>
    </row>
    <row r="104" spans="2:12" ht="18.75" x14ac:dyDescent="0.3">
      <c r="B104" s="122"/>
      <c r="C104" s="129"/>
      <c r="D104" s="142"/>
      <c r="E104" s="117"/>
      <c r="F104" s="129"/>
      <c r="G104" s="117"/>
      <c r="H104" s="117"/>
      <c r="I104" s="117"/>
      <c r="J104" s="117"/>
      <c r="K104" s="117"/>
      <c r="L104" s="122"/>
    </row>
    <row r="105" spans="2:12" ht="18.75" x14ac:dyDescent="0.3">
      <c r="B105" s="122"/>
      <c r="C105" s="129"/>
      <c r="D105" s="142"/>
      <c r="E105" s="117"/>
      <c r="F105" s="129"/>
      <c r="G105" s="117"/>
      <c r="H105" s="117"/>
      <c r="I105" s="117"/>
      <c r="J105" s="117"/>
      <c r="K105" s="117"/>
      <c r="L105" s="122"/>
    </row>
    <row r="106" spans="2:12" ht="18.75" x14ac:dyDescent="0.3">
      <c r="B106" s="122"/>
      <c r="C106" s="129"/>
      <c r="D106" s="142"/>
      <c r="E106" s="117"/>
      <c r="F106" s="129"/>
      <c r="G106" s="117"/>
      <c r="H106" s="117"/>
      <c r="I106" s="117"/>
      <c r="J106" s="117"/>
      <c r="K106" s="117"/>
      <c r="L106" s="122"/>
    </row>
    <row r="107" spans="2:12" ht="18.75" x14ac:dyDescent="0.3">
      <c r="B107" s="122"/>
      <c r="C107" s="129"/>
      <c r="D107" s="142"/>
      <c r="E107" s="117"/>
      <c r="F107" s="129"/>
      <c r="G107" s="117"/>
      <c r="H107" s="117"/>
      <c r="I107" s="117"/>
      <c r="J107" s="117"/>
      <c r="K107" s="117"/>
      <c r="L107" s="122"/>
    </row>
    <row r="108" spans="2:12" ht="18.75" x14ac:dyDescent="0.3">
      <c r="B108" s="122"/>
      <c r="C108" s="129"/>
      <c r="D108" s="142"/>
      <c r="E108" s="117"/>
      <c r="F108" s="129"/>
      <c r="G108" s="117"/>
      <c r="H108" s="117"/>
      <c r="I108" s="117"/>
      <c r="J108" s="117"/>
      <c r="K108" s="117"/>
      <c r="L108" s="122"/>
    </row>
    <row r="109" spans="2:12" ht="18.75" x14ac:dyDescent="0.3">
      <c r="B109" s="122"/>
      <c r="C109" s="129"/>
      <c r="D109" s="142"/>
      <c r="E109" s="117"/>
      <c r="F109" s="129"/>
      <c r="G109" s="117"/>
      <c r="H109" s="117"/>
      <c r="I109" s="117"/>
      <c r="J109" s="117"/>
      <c r="K109" s="117"/>
      <c r="L109" s="122"/>
    </row>
    <row r="110" spans="2:12" ht="18.75" x14ac:dyDescent="0.3">
      <c r="B110" s="122"/>
      <c r="C110" s="129"/>
      <c r="D110" s="142"/>
      <c r="E110" s="117"/>
      <c r="F110" s="129"/>
      <c r="G110" s="117"/>
      <c r="H110" s="117"/>
      <c r="I110" s="117"/>
      <c r="J110" s="117"/>
      <c r="K110" s="117"/>
      <c r="L110" s="122"/>
    </row>
    <row r="111" spans="2:12" ht="18.75" x14ac:dyDescent="0.3">
      <c r="B111" s="122"/>
      <c r="C111" s="129"/>
      <c r="D111" s="142"/>
      <c r="E111" s="117"/>
      <c r="F111" s="129"/>
      <c r="G111" s="117"/>
      <c r="H111" s="117"/>
      <c r="I111" s="117"/>
      <c r="J111" s="117"/>
      <c r="K111" s="117"/>
      <c r="L111" s="122"/>
    </row>
    <row r="112" spans="2:12" ht="18.75" x14ac:dyDescent="0.3">
      <c r="B112" s="122"/>
      <c r="C112" s="129"/>
      <c r="D112" s="142"/>
      <c r="E112" s="117"/>
      <c r="F112" s="129"/>
      <c r="G112" s="117"/>
      <c r="H112" s="117"/>
      <c r="I112" s="117"/>
      <c r="J112" s="117"/>
      <c r="K112" s="117"/>
      <c r="L112" s="122"/>
    </row>
    <row r="113" spans="2:12" ht="18.75" x14ac:dyDescent="0.3">
      <c r="B113" s="122"/>
      <c r="C113" s="129"/>
      <c r="D113" s="142"/>
      <c r="E113" s="117"/>
      <c r="F113" s="129"/>
      <c r="G113" s="117"/>
      <c r="H113" s="117"/>
      <c r="I113" s="117"/>
      <c r="J113" s="117"/>
      <c r="K113" s="117"/>
      <c r="L113" s="122"/>
    </row>
    <row r="114" spans="2:12" ht="18.75" x14ac:dyDescent="0.3">
      <c r="B114" s="125"/>
      <c r="C114" s="130"/>
      <c r="D114" s="130"/>
      <c r="E114" s="130"/>
      <c r="F114" s="130"/>
      <c r="G114" s="117"/>
      <c r="H114" s="117"/>
      <c r="I114" s="117"/>
      <c r="J114" s="117"/>
      <c r="K114" s="117"/>
      <c r="L114" s="125"/>
    </row>
    <row r="115" spans="2:12" ht="18.75" x14ac:dyDescent="0.3">
      <c r="B115" s="122"/>
      <c r="C115" s="117"/>
      <c r="D115" s="117"/>
      <c r="E115" s="117"/>
      <c r="F115" s="117"/>
      <c r="G115" s="117"/>
      <c r="H115" s="117"/>
      <c r="I115" s="117"/>
      <c r="J115" s="117"/>
      <c r="K115" s="117"/>
      <c r="L115" s="122"/>
    </row>
    <row r="116" spans="2:12" ht="18.75" x14ac:dyDescent="0.25">
      <c r="B116" s="127"/>
      <c r="C116" s="128"/>
      <c r="D116" s="128"/>
      <c r="E116" s="128"/>
      <c r="F116" s="128"/>
      <c r="G116" s="128"/>
      <c r="H116" s="128"/>
      <c r="I116" s="128"/>
      <c r="J116" s="128"/>
      <c r="K116" s="128"/>
      <c r="L116" s="127"/>
    </row>
    <row r="117" spans="2:12" ht="18.75" x14ac:dyDescent="0.3">
      <c r="B117" s="143"/>
      <c r="C117" s="144"/>
      <c r="D117" s="144"/>
      <c r="E117" s="145"/>
      <c r="F117" s="144"/>
      <c r="G117" s="117"/>
      <c r="H117" s="117"/>
      <c r="I117" s="117"/>
      <c r="J117" s="117"/>
      <c r="K117" s="117"/>
      <c r="L117" s="143"/>
    </row>
    <row r="118" spans="2:12" ht="18.75" x14ac:dyDescent="0.3">
      <c r="B118" s="143"/>
      <c r="C118" s="144"/>
      <c r="D118" s="144"/>
      <c r="E118" s="145"/>
      <c r="F118" s="144"/>
      <c r="G118" s="117"/>
      <c r="H118" s="117"/>
      <c r="I118" s="117"/>
      <c r="J118" s="117"/>
      <c r="K118" s="117"/>
      <c r="L118" s="143"/>
    </row>
    <row r="119" spans="2:12" ht="18.75" x14ac:dyDescent="0.3">
      <c r="B119" s="143"/>
      <c r="C119" s="144"/>
      <c r="D119" s="144"/>
      <c r="E119" s="145"/>
      <c r="F119" s="144"/>
      <c r="G119" s="117"/>
      <c r="H119" s="117"/>
      <c r="I119" s="117"/>
      <c r="J119" s="117"/>
      <c r="K119" s="117"/>
      <c r="L119" s="143"/>
    </row>
    <row r="120" spans="2:12" ht="18.75" x14ac:dyDescent="0.3">
      <c r="B120" s="143"/>
      <c r="C120" s="144"/>
      <c r="D120" s="144"/>
      <c r="E120" s="145"/>
      <c r="F120" s="144"/>
      <c r="G120" s="117"/>
      <c r="H120" s="117"/>
      <c r="I120" s="117"/>
      <c r="J120" s="117"/>
      <c r="K120" s="117"/>
      <c r="L120" s="143"/>
    </row>
    <row r="121" spans="2:12" ht="18.75" x14ac:dyDescent="0.3">
      <c r="B121" s="143"/>
      <c r="C121" s="144"/>
      <c r="D121" s="144"/>
      <c r="E121" s="145"/>
      <c r="F121" s="144"/>
      <c r="G121" s="117"/>
      <c r="H121" s="117"/>
      <c r="I121" s="117"/>
      <c r="J121" s="117"/>
      <c r="K121" s="117"/>
      <c r="L121" s="143"/>
    </row>
    <row r="122" spans="2:12" ht="18.75" x14ac:dyDescent="0.3">
      <c r="B122" s="143"/>
      <c r="C122" s="144"/>
      <c r="D122" s="144"/>
      <c r="E122" s="145"/>
      <c r="F122" s="144"/>
      <c r="G122" s="117"/>
      <c r="H122" s="117"/>
      <c r="I122" s="117"/>
      <c r="J122" s="117"/>
      <c r="K122" s="117"/>
      <c r="L122" s="143"/>
    </row>
    <row r="123" spans="2:12" ht="18.75" x14ac:dyDescent="0.3">
      <c r="B123" s="143"/>
      <c r="C123" s="144"/>
      <c r="D123" s="144"/>
      <c r="E123" s="145"/>
      <c r="F123" s="144"/>
      <c r="G123" s="117"/>
      <c r="H123" s="117"/>
      <c r="I123" s="117"/>
      <c r="J123" s="117"/>
      <c r="K123" s="117"/>
      <c r="L123" s="143"/>
    </row>
    <row r="124" spans="2:12" ht="18.75" x14ac:dyDescent="0.3">
      <c r="B124" s="143"/>
      <c r="C124" s="144"/>
      <c r="D124" s="144"/>
      <c r="E124" s="145"/>
      <c r="F124" s="144"/>
      <c r="G124" s="117"/>
      <c r="H124" s="117"/>
      <c r="I124" s="117"/>
      <c r="J124" s="117"/>
      <c r="K124" s="117"/>
      <c r="L124" s="143"/>
    </row>
    <row r="125" spans="2:12" ht="18.75" x14ac:dyDescent="0.3">
      <c r="B125" s="143"/>
      <c r="C125" s="144"/>
      <c r="D125" s="144"/>
      <c r="E125" s="145"/>
      <c r="F125" s="144"/>
      <c r="G125" s="117"/>
      <c r="H125" s="117"/>
      <c r="I125" s="117"/>
      <c r="J125" s="117"/>
      <c r="K125" s="117"/>
      <c r="L125" s="143"/>
    </row>
    <row r="126" spans="2:12" ht="18.75" x14ac:dyDescent="0.3">
      <c r="B126" s="143"/>
      <c r="C126" s="144"/>
      <c r="D126" s="144"/>
      <c r="E126" s="145"/>
      <c r="F126" s="144"/>
      <c r="G126" s="117"/>
      <c r="H126" s="117"/>
      <c r="I126" s="117"/>
      <c r="J126" s="117"/>
      <c r="K126" s="117"/>
      <c r="L126" s="143"/>
    </row>
    <row r="127" spans="2:12" ht="18.75" x14ac:dyDescent="0.3">
      <c r="B127" s="143"/>
      <c r="C127" s="144"/>
      <c r="D127" s="144"/>
      <c r="E127" s="145"/>
      <c r="F127" s="144"/>
      <c r="G127" s="117"/>
      <c r="H127" s="117"/>
      <c r="I127" s="117"/>
      <c r="J127" s="117"/>
      <c r="K127" s="117"/>
      <c r="L127" s="143"/>
    </row>
    <row r="128" spans="2:12" ht="18.75" x14ac:dyDescent="0.3">
      <c r="B128" s="143"/>
      <c r="C128" s="144"/>
      <c r="D128" s="144"/>
      <c r="E128" s="145"/>
      <c r="F128" s="144"/>
      <c r="G128" s="117"/>
      <c r="H128" s="117"/>
      <c r="I128" s="117"/>
      <c r="J128" s="117"/>
      <c r="K128" s="117"/>
      <c r="L128" s="143"/>
    </row>
    <row r="129" spans="2:12" ht="18.75" x14ac:dyDescent="0.3">
      <c r="B129" s="125"/>
      <c r="C129" s="146"/>
      <c r="D129" s="146"/>
      <c r="E129" s="146"/>
      <c r="F129" s="146"/>
      <c r="G129" s="117"/>
      <c r="H129" s="117"/>
      <c r="I129" s="117"/>
      <c r="J129" s="117"/>
      <c r="K129" s="117"/>
      <c r="L129" s="125"/>
    </row>
    <row r="130" spans="2:12" ht="18.75" x14ac:dyDescent="0.3">
      <c r="B130" s="133"/>
      <c r="C130" s="117"/>
      <c r="D130" s="117"/>
      <c r="E130" s="117"/>
      <c r="F130" s="117"/>
      <c r="G130" s="117"/>
      <c r="H130" s="117"/>
      <c r="I130" s="117"/>
      <c r="J130" s="117"/>
      <c r="K130" s="117"/>
      <c r="L130" s="133"/>
    </row>
    <row r="131" spans="2:12" ht="18.75" x14ac:dyDescent="0.25">
      <c r="B131" s="127"/>
      <c r="C131" s="128"/>
      <c r="D131" s="128"/>
      <c r="E131" s="128"/>
      <c r="F131" s="128"/>
      <c r="G131" s="128"/>
      <c r="H131" s="128"/>
      <c r="I131" s="128"/>
      <c r="J131" s="128"/>
      <c r="K131" s="128"/>
      <c r="L131" s="127"/>
    </row>
    <row r="132" spans="2:12" ht="18.75" x14ac:dyDescent="0.3">
      <c r="B132" s="122"/>
      <c r="C132" s="123"/>
      <c r="D132" s="123"/>
      <c r="E132" s="117"/>
      <c r="F132" s="123"/>
      <c r="G132" s="117"/>
      <c r="H132" s="117"/>
      <c r="I132" s="117"/>
      <c r="J132" s="117"/>
      <c r="K132" s="117"/>
      <c r="L132" s="122"/>
    </row>
    <row r="133" spans="2:12" ht="18.75" x14ac:dyDescent="0.3">
      <c r="B133" s="122"/>
      <c r="C133" s="123"/>
      <c r="D133" s="123"/>
      <c r="E133" s="117"/>
      <c r="F133" s="123"/>
      <c r="G133" s="117"/>
      <c r="H133" s="117"/>
      <c r="I133" s="117"/>
      <c r="J133" s="117"/>
      <c r="K133" s="117"/>
      <c r="L133" s="122"/>
    </row>
    <row r="134" spans="2:12" ht="18.75" x14ac:dyDescent="0.3">
      <c r="B134" s="122"/>
      <c r="C134" s="123"/>
      <c r="D134" s="123"/>
      <c r="E134" s="117"/>
      <c r="F134" s="123"/>
      <c r="G134" s="117"/>
      <c r="H134" s="117"/>
      <c r="I134" s="117"/>
      <c r="J134" s="117"/>
      <c r="K134" s="117"/>
      <c r="L134" s="122"/>
    </row>
    <row r="135" spans="2:12" ht="18.75" x14ac:dyDescent="0.3">
      <c r="B135" s="122"/>
      <c r="C135" s="123"/>
      <c r="D135" s="123"/>
      <c r="E135" s="117"/>
      <c r="F135" s="123"/>
      <c r="G135" s="117"/>
      <c r="H135" s="117"/>
      <c r="I135" s="117"/>
      <c r="J135" s="117"/>
      <c r="K135" s="117"/>
      <c r="L135" s="122"/>
    </row>
    <row r="136" spans="2:12" ht="18.75" x14ac:dyDescent="0.3">
      <c r="B136" s="122"/>
      <c r="C136" s="123"/>
      <c r="D136" s="123"/>
      <c r="E136" s="117"/>
      <c r="F136" s="123"/>
      <c r="G136" s="117"/>
      <c r="H136" s="117"/>
      <c r="I136" s="117"/>
      <c r="J136" s="117"/>
      <c r="K136" s="117"/>
      <c r="L136" s="122"/>
    </row>
    <row r="137" spans="2:12" ht="18.75" x14ac:dyDescent="0.3">
      <c r="B137" s="122"/>
      <c r="C137" s="123"/>
      <c r="D137" s="123"/>
      <c r="E137" s="117"/>
      <c r="F137" s="123"/>
      <c r="G137" s="117"/>
      <c r="H137" s="117"/>
      <c r="I137" s="117"/>
      <c r="J137" s="117"/>
      <c r="K137" s="117"/>
      <c r="L137" s="122"/>
    </row>
    <row r="138" spans="2:12" ht="18.75" x14ac:dyDescent="0.3">
      <c r="B138" s="122"/>
      <c r="C138" s="123"/>
      <c r="D138" s="123"/>
      <c r="E138" s="117"/>
      <c r="F138" s="123"/>
      <c r="G138" s="117"/>
      <c r="H138" s="117"/>
      <c r="I138" s="117"/>
      <c r="J138" s="117"/>
      <c r="K138" s="117"/>
      <c r="L138" s="122"/>
    </row>
    <row r="139" spans="2:12" ht="18.75" x14ac:dyDescent="0.3">
      <c r="B139" s="122"/>
      <c r="C139" s="123"/>
      <c r="D139" s="123"/>
      <c r="E139" s="117"/>
      <c r="F139" s="123"/>
      <c r="G139" s="117"/>
      <c r="H139" s="117"/>
      <c r="I139" s="117"/>
      <c r="J139" s="117"/>
      <c r="K139" s="117"/>
      <c r="L139" s="122"/>
    </row>
    <row r="140" spans="2:12" ht="18.75" x14ac:dyDescent="0.3">
      <c r="B140" s="122"/>
      <c r="C140" s="123"/>
      <c r="D140" s="123"/>
      <c r="E140" s="117"/>
      <c r="F140" s="123"/>
      <c r="G140" s="117"/>
      <c r="H140" s="117"/>
      <c r="I140" s="117"/>
      <c r="J140" s="117"/>
      <c r="K140" s="117"/>
      <c r="L140" s="122"/>
    </row>
    <row r="141" spans="2:12" ht="18.75" x14ac:dyDescent="0.3">
      <c r="B141" s="122"/>
      <c r="C141" s="123"/>
      <c r="D141" s="123"/>
      <c r="E141" s="117"/>
      <c r="F141" s="123"/>
      <c r="G141" s="117"/>
      <c r="H141" s="117"/>
      <c r="I141" s="117"/>
      <c r="J141" s="117"/>
      <c r="K141" s="117"/>
      <c r="L141" s="122"/>
    </row>
    <row r="142" spans="2:12" ht="18.75" x14ac:dyDescent="0.3">
      <c r="B142" s="122"/>
      <c r="C142" s="123"/>
      <c r="D142" s="123"/>
      <c r="E142" s="117"/>
      <c r="F142" s="123"/>
      <c r="G142" s="117"/>
      <c r="H142" s="117"/>
      <c r="I142" s="117"/>
      <c r="J142" s="117"/>
      <c r="K142" s="117"/>
      <c r="L142" s="122"/>
    </row>
    <row r="143" spans="2:12" ht="18.75" x14ac:dyDescent="0.3">
      <c r="B143" s="122"/>
      <c r="C143" s="123"/>
      <c r="D143" s="123"/>
      <c r="E143" s="117"/>
      <c r="F143" s="123"/>
      <c r="G143" s="117"/>
      <c r="H143" s="117"/>
      <c r="I143" s="117"/>
      <c r="J143" s="117"/>
      <c r="K143" s="117"/>
      <c r="L143" s="122"/>
    </row>
    <row r="144" spans="2:12" ht="18.75" x14ac:dyDescent="0.3">
      <c r="B144" s="125"/>
      <c r="C144" s="126"/>
      <c r="D144" s="126"/>
      <c r="E144" s="126"/>
      <c r="F144" s="126"/>
      <c r="G144" s="117"/>
      <c r="H144" s="117"/>
      <c r="I144" s="117"/>
      <c r="J144" s="117"/>
      <c r="K144" s="117"/>
      <c r="L144" s="125"/>
    </row>
    <row r="145" spans="2:12" ht="18.75" x14ac:dyDescent="0.3">
      <c r="B145" s="125"/>
      <c r="C145" s="126"/>
      <c r="D145" s="126"/>
      <c r="E145" s="126"/>
      <c r="F145" s="126"/>
      <c r="G145" s="117"/>
      <c r="H145" s="117"/>
      <c r="I145" s="117"/>
      <c r="J145" s="117"/>
      <c r="K145" s="117"/>
      <c r="L145" s="125"/>
    </row>
    <row r="146" spans="2:12" ht="18.75" x14ac:dyDescent="0.3">
      <c r="B146" s="125"/>
      <c r="C146" s="126"/>
      <c r="D146" s="126"/>
      <c r="E146" s="126"/>
      <c r="F146" s="126"/>
      <c r="G146" s="117"/>
      <c r="H146" s="117"/>
      <c r="I146" s="117"/>
      <c r="J146" s="117"/>
      <c r="K146" s="117"/>
      <c r="L146" s="125"/>
    </row>
    <row r="147" spans="2:12" ht="18.75" x14ac:dyDescent="0.3">
      <c r="B147" s="133"/>
      <c r="C147" s="117"/>
      <c r="D147" s="117"/>
      <c r="E147" s="117"/>
      <c r="F147" s="117"/>
      <c r="G147" s="117"/>
      <c r="H147" s="117"/>
      <c r="I147" s="117"/>
      <c r="J147" s="117"/>
      <c r="K147" s="117"/>
      <c r="L147" s="133"/>
    </row>
    <row r="148" spans="2:12" ht="18.75" x14ac:dyDescent="0.25">
      <c r="B148" s="127"/>
      <c r="C148" s="128"/>
      <c r="D148" s="128"/>
      <c r="E148" s="128"/>
      <c r="F148" s="128"/>
      <c r="G148" s="128"/>
      <c r="H148" s="128"/>
      <c r="I148" s="128"/>
      <c r="J148" s="128"/>
      <c r="K148" s="128"/>
      <c r="L148" s="127"/>
    </row>
    <row r="149" spans="2:12" ht="18.75" x14ac:dyDescent="0.3">
      <c r="B149" s="122"/>
      <c r="C149" s="123"/>
      <c r="D149" s="123"/>
      <c r="E149" s="123"/>
      <c r="F149" s="123"/>
      <c r="G149" s="117"/>
      <c r="H149" s="117"/>
      <c r="I149" s="117"/>
      <c r="J149" s="117"/>
      <c r="K149" s="117"/>
      <c r="L149" s="122"/>
    </row>
    <row r="150" spans="2:12" ht="18.75" x14ac:dyDescent="0.3">
      <c r="B150" s="122"/>
      <c r="C150" s="123"/>
      <c r="D150" s="123"/>
      <c r="E150" s="123"/>
      <c r="F150" s="123"/>
      <c r="G150" s="117"/>
      <c r="H150" s="117"/>
      <c r="I150" s="117"/>
      <c r="J150" s="117"/>
      <c r="K150" s="117"/>
      <c r="L150" s="122"/>
    </row>
    <row r="151" spans="2:12" ht="18.75" x14ac:dyDescent="0.3">
      <c r="B151" s="122"/>
      <c r="C151" s="123"/>
      <c r="D151" s="123"/>
      <c r="E151" s="123"/>
      <c r="F151" s="123"/>
      <c r="G151" s="117"/>
      <c r="H151" s="117"/>
      <c r="I151" s="117"/>
      <c r="J151" s="117"/>
      <c r="K151" s="117"/>
      <c r="L151" s="122"/>
    </row>
    <row r="152" spans="2:12" ht="18.75" x14ac:dyDescent="0.3">
      <c r="B152" s="122"/>
      <c r="C152" s="123"/>
      <c r="D152" s="123"/>
      <c r="E152" s="123"/>
      <c r="F152" s="123"/>
      <c r="G152" s="117"/>
      <c r="H152" s="117"/>
      <c r="I152" s="117"/>
      <c r="J152" s="117"/>
      <c r="K152" s="117"/>
      <c r="L152" s="122"/>
    </row>
    <row r="153" spans="2:12" ht="18.75" x14ac:dyDescent="0.3">
      <c r="B153" s="122"/>
      <c r="C153" s="123"/>
      <c r="D153" s="123"/>
      <c r="E153" s="123"/>
      <c r="F153" s="123"/>
      <c r="G153" s="117"/>
      <c r="H153" s="117"/>
      <c r="I153" s="117"/>
      <c r="J153" s="117"/>
      <c r="K153" s="117"/>
      <c r="L153" s="122"/>
    </row>
    <row r="154" spans="2:12" ht="18.75" x14ac:dyDescent="0.3">
      <c r="B154" s="122"/>
      <c r="C154" s="123"/>
      <c r="D154" s="123"/>
      <c r="E154" s="123"/>
      <c r="F154" s="123"/>
      <c r="G154" s="117"/>
      <c r="H154" s="117"/>
      <c r="I154" s="117"/>
      <c r="J154" s="117"/>
      <c r="K154" s="117"/>
      <c r="L154" s="122"/>
    </row>
    <row r="155" spans="2:12" ht="18.75" x14ac:dyDescent="0.3">
      <c r="B155" s="122"/>
      <c r="C155" s="123"/>
      <c r="D155" s="123"/>
      <c r="E155" s="123"/>
      <c r="F155" s="123"/>
      <c r="G155" s="117"/>
      <c r="H155" s="117"/>
      <c r="I155" s="117"/>
      <c r="J155" s="117"/>
      <c r="K155" s="117"/>
      <c r="L155" s="122"/>
    </row>
    <row r="156" spans="2:12" ht="18.75" x14ac:dyDescent="0.3">
      <c r="B156" s="122"/>
      <c r="C156" s="123"/>
      <c r="D156" s="123"/>
      <c r="E156" s="123"/>
      <c r="F156" s="123"/>
      <c r="G156" s="117"/>
      <c r="H156" s="117"/>
      <c r="I156" s="117"/>
      <c r="J156" s="117"/>
      <c r="K156" s="117"/>
      <c r="L156" s="122"/>
    </row>
    <row r="157" spans="2:12" ht="18.75" x14ac:dyDescent="0.3">
      <c r="B157" s="122"/>
      <c r="C157" s="123"/>
      <c r="D157" s="123"/>
      <c r="E157" s="123"/>
      <c r="F157" s="123"/>
      <c r="G157" s="117"/>
      <c r="H157" s="117"/>
      <c r="I157" s="117"/>
      <c r="J157" s="117"/>
      <c r="K157" s="117"/>
      <c r="L157" s="122"/>
    </row>
    <row r="158" spans="2:12" ht="18.75" x14ac:dyDescent="0.3">
      <c r="B158" s="122"/>
      <c r="C158" s="123"/>
      <c r="D158" s="123"/>
      <c r="E158" s="123"/>
      <c r="F158" s="123"/>
      <c r="G158" s="117"/>
      <c r="H158" s="117"/>
      <c r="I158" s="117"/>
      <c r="J158" s="117"/>
      <c r="K158" s="117"/>
      <c r="L158" s="122"/>
    </row>
    <row r="159" spans="2:12" ht="18.75" x14ac:dyDescent="0.3">
      <c r="B159" s="122"/>
      <c r="C159" s="123"/>
      <c r="D159" s="123"/>
      <c r="E159" s="123"/>
      <c r="F159" s="123"/>
      <c r="G159" s="117"/>
      <c r="H159" s="117"/>
      <c r="I159" s="117"/>
      <c r="J159" s="117"/>
      <c r="K159" s="117"/>
      <c r="L159" s="122"/>
    </row>
    <row r="160" spans="2:12" ht="18.75" x14ac:dyDescent="0.3">
      <c r="B160" s="122"/>
      <c r="C160" s="123"/>
      <c r="D160" s="123"/>
      <c r="E160" s="123"/>
      <c r="F160" s="123"/>
      <c r="G160" s="117"/>
      <c r="H160" s="117"/>
      <c r="I160" s="117"/>
      <c r="J160" s="117"/>
      <c r="K160" s="117"/>
      <c r="L160" s="122"/>
    </row>
    <row r="161" spans="2:12" ht="18.75" x14ac:dyDescent="0.3">
      <c r="B161" s="125"/>
      <c r="C161" s="126"/>
      <c r="D161" s="126"/>
      <c r="E161" s="126"/>
      <c r="F161" s="126"/>
      <c r="G161" s="117"/>
      <c r="H161" s="117"/>
      <c r="I161" s="117"/>
      <c r="J161" s="117"/>
      <c r="K161" s="117"/>
      <c r="L161" s="125"/>
    </row>
    <row r="162" spans="2:12" ht="18.75" x14ac:dyDescent="0.25">
      <c r="B162" s="127"/>
      <c r="C162" s="128"/>
      <c r="D162" s="128"/>
      <c r="E162" s="128"/>
      <c r="F162" s="128"/>
      <c r="G162" s="128"/>
      <c r="H162" s="128"/>
      <c r="I162" s="128"/>
      <c r="J162" s="128"/>
      <c r="K162" s="128"/>
      <c r="L162" s="127"/>
    </row>
    <row r="163" spans="2:12" ht="18.75" x14ac:dyDescent="0.3">
      <c r="B163" s="122"/>
      <c r="C163" s="147"/>
      <c r="D163" s="147"/>
      <c r="E163" s="147"/>
      <c r="F163" s="147"/>
      <c r="G163" s="147"/>
      <c r="H163" s="147"/>
      <c r="I163" s="147"/>
      <c r="J163" s="147"/>
      <c r="K163" s="147"/>
      <c r="L163" s="122"/>
    </row>
    <row r="164" spans="2:12" ht="18.75" x14ac:dyDescent="0.3">
      <c r="B164" s="122"/>
      <c r="C164" s="147"/>
      <c r="D164" s="147"/>
      <c r="E164" s="147"/>
      <c r="F164" s="147"/>
      <c r="G164" s="147"/>
      <c r="H164" s="147"/>
      <c r="I164" s="147"/>
      <c r="J164" s="147"/>
      <c r="K164" s="147"/>
      <c r="L164" s="122"/>
    </row>
    <row r="165" spans="2:12" ht="18.75" x14ac:dyDescent="0.3">
      <c r="B165" s="122"/>
      <c r="C165" s="147"/>
      <c r="D165" s="147"/>
      <c r="E165" s="147"/>
      <c r="F165" s="147"/>
      <c r="G165" s="147"/>
      <c r="H165" s="147"/>
      <c r="I165" s="147"/>
      <c r="J165" s="147"/>
      <c r="K165" s="147"/>
      <c r="L165" s="122"/>
    </row>
    <row r="166" spans="2:12" ht="18.75" x14ac:dyDescent="0.3">
      <c r="B166" s="122"/>
      <c r="C166" s="129"/>
      <c r="D166" s="129"/>
      <c r="E166" s="117"/>
      <c r="F166" s="117"/>
      <c r="G166" s="117"/>
      <c r="H166" s="117"/>
      <c r="I166" s="117"/>
      <c r="J166" s="117"/>
      <c r="K166" s="117"/>
      <c r="L166" s="122"/>
    </row>
    <row r="167" spans="2:12" ht="18.75" x14ac:dyDescent="0.3">
      <c r="B167" s="122"/>
      <c r="C167" s="129"/>
      <c r="D167" s="129"/>
      <c r="E167" s="117"/>
      <c r="F167" s="117"/>
      <c r="G167" s="117"/>
      <c r="H167" s="117"/>
      <c r="I167" s="117"/>
      <c r="J167" s="117"/>
      <c r="K167" s="117"/>
      <c r="L167" s="122"/>
    </row>
    <row r="168" spans="2:12" ht="18.75" x14ac:dyDescent="0.3">
      <c r="B168" s="122"/>
      <c r="C168" s="129"/>
      <c r="D168" s="129"/>
      <c r="E168" s="117"/>
      <c r="F168" s="117"/>
      <c r="G168" s="117"/>
      <c r="H168" s="117"/>
      <c r="I168" s="117"/>
      <c r="J168" s="117"/>
      <c r="K168" s="117"/>
      <c r="L168" s="122"/>
    </row>
    <row r="169" spans="2:12" ht="18.75" x14ac:dyDescent="0.3">
      <c r="B169" s="122"/>
      <c r="C169" s="129"/>
      <c r="D169" s="129"/>
      <c r="E169" s="117"/>
      <c r="F169" s="117"/>
      <c r="G169" s="117"/>
      <c r="H169" s="117"/>
      <c r="I169" s="117"/>
      <c r="J169" s="117"/>
      <c r="K169" s="117"/>
      <c r="L169" s="122"/>
    </row>
    <row r="170" spans="2:12" ht="18.75" x14ac:dyDescent="0.3">
      <c r="B170" s="122"/>
      <c r="C170" s="129"/>
      <c r="D170" s="129"/>
      <c r="E170" s="117"/>
      <c r="F170" s="117"/>
      <c r="G170" s="117"/>
      <c r="H170" s="117"/>
      <c r="I170" s="117"/>
      <c r="J170" s="117"/>
      <c r="K170" s="117"/>
      <c r="L170" s="122"/>
    </row>
    <row r="171" spans="2:12" ht="18.75" x14ac:dyDescent="0.3">
      <c r="B171" s="122"/>
      <c r="C171" s="129"/>
      <c r="D171" s="129"/>
      <c r="E171" s="117"/>
      <c r="F171" s="117"/>
      <c r="G171" s="117"/>
      <c r="H171" s="117"/>
      <c r="I171" s="117"/>
      <c r="J171" s="117"/>
      <c r="K171" s="117"/>
      <c r="L171" s="122"/>
    </row>
    <row r="172" spans="2:12" ht="18.75" x14ac:dyDescent="0.3">
      <c r="B172" s="122"/>
      <c r="C172" s="129"/>
      <c r="D172" s="129"/>
      <c r="E172" s="117"/>
      <c r="F172" s="117"/>
      <c r="G172" s="117"/>
      <c r="H172" s="117"/>
      <c r="I172" s="117"/>
      <c r="J172" s="117"/>
      <c r="K172" s="117"/>
      <c r="L172" s="122"/>
    </row>
    <row r="173" spans="2:12" ht="18.75" x14ac:dyDescent="0.3">
      <c r="B173" s="122"/>
      <c r="C173" s="129"/>
      <c r="D173" s="129"/>
      <c r="E173" s="117"/>
      <c r="F173" s="117"/>
      <c r="G173" s="117"/>
      <c r="H173" s="117"/>
      <c r="I173" s="117"/>
      <c r="J173" s="117"/>
      <c r="K173" s="117"/>
      <c r="L173" s="122"/>
    </row>
    <row r="174" spans="2:12" ht="18.75" x14ac:dyDescent="0.3">
      <c r="B174" s="122"/>
      <c r="C174" s="129"/>
      <c r="D174" s="129"/>
      <c r="E174" s="117"/>
      <c r="F174" s="117"/>
      <c r="G174" s="117"/>
      <c r="H174" s="117"/>
      <c r="I174" s="117"/>
      <c r="J174" s="117"/>
      <c r="K174" s="117"/>
      <c r="L174" s="122"/>
    </row>
    <row r="175" spans="2:12" ht="18.75" x14ac:dyDescent="0.3">
      <c r="B175" s="125"/>
      <c r="C175" s="126"/>
      <c r="D175" s="126"/>
      <c r="E175" s="126"/>
      <c r="F175" s="126"/>
      <c r="G175" s="117"/>
      <c r="H175" s="117"/>
      <c r="I175" s="117"/>
      <c r="J175" s="117"/>
      <c r="K175" s="117"/>
      <c r="L175" s="125"/>
    </row>
    <row r="176" spans="2:12" ht="18.75" x14ac:dyDescent="0.3">
      <c r="B176" s="133"/>
      <c r="C176" s="117"/>
      <c r="D176" s="117"/>
      <c r="E176" s="117"/>
      <c r="F176" s="117"/>
      <c r="G176" s="117"/>
      <c r="H176" s="117"/>
      <c r="I176" s="117"/>
      <c r="J176" s="117"/>
      <c r="K176" s="117"/>
      <c r="L176" s="133"/>
    </row>
    <row r="177" spans="2:12" ht="18.75" x14ac:dyDescent="0.25">
      <c r="B177" s="127"/>
      <c r="C177" s="128"/>
      <c r="D177" s="128"/>
      <c r="E177" s="128"/>
      <c r="F177" s="128"/>
      <c r="G177" s="128"/>
      <c r="H177" s="128"/>
      <c r="I177" s="128"/>
      <c r="J177" s="128"/>
      <c r="K177" s="128"/>
      <c r="L177" s="127"/>
    </row>
    <row r="178" spans="2:12" ht="18.75" x14ac:dyDescent="0.3">
      <c r="B178" s="133"/>
      <c r="C178" s="148"/>
      <c r="D178" s="123"/>
      <c r="E178" s="123"/>
      <c r="F178" s="123"/>
      <c r="G178" s="149"/>
      <c r="H178" s="149"/>
      <c r="I178" s="149"/>
      <c r="J178" s="149"/>
      <c r="K178" s="149"/>
      <c r="L178" s="133"/>
    </row>
    <row r="179" spans="2:12" ht="18.75" x14ac:dyDescent="0.3">
      <c r="B179" s="133"/>
      <c r="C179" s="148"/>
      <c r="D179" s="123"/>
      <c r="E179" s="123"/>
      <c r="F179" s="123"/>
      <c r="G179" s="150"/>
      <c r="H179" s="150"/>
      <c r="I179" s="150"/>
      <c r="J179" s="150"/>
      <c r="K179" s="150"/>
      <c r="L179" s="133"/>
    </row>
    <row r="180" spans="2:12" ht="18.75" x14ac:dyDescent="0.3">
      <c r="B180" s="133"/>
      <c r="C180" s="148"/>
      <c r="D180" s="123"/>
      <c r="E180" s="123"/>
      <c r="F180" s="123"/>
      <c r="G180" s="150"/>
      <c r="H180" s="150"/>
      <c r="I180" s="150"/>
      <c r="J180" s="150"/>
      <c r="K180" s="150"/>
      <c r="L180" s="133"/>
    </row>
    <row r="181" spans="2:12" ht="18.75" x14ac:dyDescent="0.3">
      <c r="B181" s="133"/>
      <c r="C181" s="148"/>
      <c r="D181" s="123"/>
      <c r="E181" s="123"/>
      <c r="F181" s="123"/>
      <c r="G181" s="150"/>
      <c r="H181" s="150"/>
      <c r="I181" s="150"/>
      <c r="J181" s="150"/>
      <c r="K181" s="150"/>
      <c r="L181" s="133"/>
    </row>
    <row r="182" spans="2:12" ht="18.75" x14ac:dyDescent="0.3">
      <c r="B182" s="133"/>
      <c r="C182" s="148"/>
      <c r="D182" s="123"/>
      <c r="E182" s="123"/>
      <c r="F182" s="123"/>
      <c r="G182" s="150"/>
      <c r="H182" s="150"/>
      <c r="I182" s="150"/>
      <c r="J182" s="150"/>
      <c r="K182" s="150"/>
      <c r="L182" s="133"/>
    </row>
    <row r="183" spans="2:12" ht="18.75" x14ac:dyDescent="0.3">
      <c r="B183" s="133"/>
      <c r="C183" s="148"/>
      <c r="D183" s="123"/>
      <c r="E183" s="123"/>
      <c r="F183" s="123"/>
      <c r="G183" s="150"/>
      <c r="H183" s="150"/>
      <c r="I183" s="150"/>
      <c r="J183" s="150"/>
      <c r="K183" s="150"/>
      <c r="L183" s="133"/>
    </row>
    <row r="184" spans="2:12" ht="18.75" x14ac:dyDescent="0.3">
      <c r="B184" s="133"/>
      <c r="C184" s="148"/>
      <c r="D184" s="123"/>
      <c r="E184" s="123"/>
      <c r="F184" s="123"/>
      <c r="G184" s="150"/>
      <c r="H184" s="150"/>
      <c r="I184" s="150"/>
      <c r="J184" s="150"/>
      <c r="K184" s="150"/>
      <c r="L184" s="133"/>
    </row>
    <row r="185" spans="2:12" ht="18.75" x14ac:dyDescent="0.3">
      <c r="B185" s="133"/>
      <c r="C185" s="148"/>
      <c r="D185" s="123"/>
      <c r="E185" s="123"/>
      <c r="F185" s="123"/>
      <c r="G185" s="150"/>
      <c r="H185" s="150"/>
      <c r="I185" s="150"/>
      <c r="J185" s="150"/>
      <c r="K185" s="150"/>
      <c r="L185" s="133"/>
    </row>
    <row r="186" spans="2:12" ht="18.75" x14ac:dyDescent="0.3">
      <c r="B186" s="133"/>
      <c r="C186" s="148"/>
      <c r="D186" s="123"/>
      <c r="E186" s="123"/>
      <c r="F186" s="123"/>
      <c r="G186" s="150"/>
      <c r="H186" s="150"/>
      <c r="I186" s="150"/>
      <c r="J186" s="150"/>
      <c r="K186" s="150"/>
      <c r="L186" s="133"/>
    </row>
    <row r="187" spans="2:12" ht="18.75" x14ac:dyDescent="0.3">
      <c r="B187" s="133"/>
      <c r="C187" s="148"/>
      <c r="D187" s="123"/>
      <c r="E187" s="123"/>
      <c r="F187" s="123"/>
      <c r="G187" s="150"/>
      <c r="H187" s="150"/>
      <c r="I187" s="150"/>
      <c r="J187" s="150"/>
      <c r="K187" s="150"/>
      <c r="L187" s="133"/>
    </row>
    <row r="188" spans="2:12" ht="18.75" x14ac:dyDescent="0.3">
      <c r="B188" s="133"/>
      <c r="C188" s="148"/>
      <c r="D188" s="123"/>
      <c r="E188" s="123"/>
      <c r="F188" s="123"/>
      <c r="G188" s="150"/>
      <c r="H188" s="150"/>
      <c r="I188" s="150"/>
      <c r="J188" s="150"/>
      <c r="K188" s="150"/>
      <c r="L188" s="133"/>
    </row>
    <row r="189" spans="2:12" ht="18.75" x14ac:dyDescent="0.3">
      <c r="B189" s="133"/>
      <c r="C189" s="148"/>
      <c r="D189" s="123"/>
      <c r="E189" s="123"/>
      <c r="F189" s="123"/>
      <c r="G189" s="150"/>
      <c r="H189" s="150"/>
      <c r="I189" s="150"/>
      <c r="J189" s="150"/>
      <c r="K189" s="150"/>
      <c r="L189" s="133"/>
    </row>
    <row r="190" spans="2:12" ht="18.75" x14ac:dyDescent="0.3">
      <c r="B190" s="125"/>
      <c r="C190" s="126"/>
      <c r="D190" s="126"/>
      <c r="E190" s="126"/>
      <c r="F190" s="126"/>
      <c r="G190" s="117"/>
      <c r="H190" s="117"/>
      <c r="I190" s="117"/>
      <c r="J190" s="117"/>
      <c r="K190" s="117"/>
      <c r="L190" s="125"/>
    </row>
    <row r="191" spans="2:12" ht="18.75" x14ac:dyDescent="0.3">
      <c r="B191" s="125"/>
      <c r="C191" s="126"/>
      <c r="D191" s="126"/>
      <c r="E191" s="126"/>
      <c r="F191" s="126"/>
      <c r="G191" s="117"/>
      <c r="H191" s="117"/>
      <c r="I191" s="117"/>
      <c r="J191" s="117"/>
      <c r="K191" s="117"/>
      <c r="L191" s="125"/>
    </row>
    <row r="192" spans="2:12" ht="18.75" x14ac:dyDescent="0.25">
      <c r="B192" s="127"/>
      <c r="C192" s="128"/>
      <c r="D192" s="128"/>
      <c r="E192" s="128"/>
      <c r="F192" s="128"/>
      <c r="G192" s="128"/>
      <c r="H192" s="128"/>
      <c r="I192" s="128"/>
      <c r="J192" s="128"/>
      <c r="K192" s="128"/>
      <c r="L192" s="127"/>
    </row>
    <row r="193" spans="2:12" ht="18.75" x14ac:dyDescent="0.3">
      <c r="B193" s="122"/>
      <c r="C193" s="123"/>
      <c r="D193" s="123"/>
      <c r="E193" s="117"/>
      <c r="F193" s="129"/>
      <c r="G193" s="117"/>
      <c r="H193" s="117"/>
      <c r="I193" s="117"/>
      <c r="J193" s="117"/>
      <c r="K193" s="117"/>
      <c r="L193" s="122"/>
    </row>
    <row r="194" spans="2:12" ht="18.75" x14ac:dyDescent="0.3">
      <c r="B194" s="122"/>
      <c r="C194" s="123"/>
      <c r="D194" s="123"/>
      <c r="E194" s="117"/>
      <c r="F194" s="129"/>
      <c r="G194" s="117"/>
      <c r="H194" s="117"/>
      <c r="I194" s="117"/>
      <c r="J194" s="117"/>
      <c r="K194" s="117"/>
      <c r="L194" s="122"/>
    </row>
    <row r="195" spans="2:12" ht="18.75" x14ac:dyDescent="0.3">
      <c r="B195" s="122"/>
      <c r="C195" s="123"/>
      <c r="D195" s="123"/>
      <c r="E195" s="117"/>
      <c r="F195" s="129"/>
      <c r="G195" s="117"/>
      <c r="H195" s="117"/>
      <c r="I195" s="117"/>
      <c r="J195" s="117"/>
      <c r="K195" s="117"/>
      <c r="L195" s="122"/>
    </row>
    <row r="196" spans="2:12" ht="18.75" x14ac:dyDescent="0.3">
      <c r="B196" s="122"/>
      <c r="C196" s="123"/>
      <c r="D196" s="123"/>
      <c r="E196" s="117"/>
      <c r="F196" s="117"/>
      <c r="G196" s="117"/>
      <c r="H196" s="117"/>
      <c r="I196" s="117"/>
      <c r="J196" s="117"/>
      <c r="K196" s="117"/>
      <c r="L196" s="122"/>
    </row>
    <row r="197" spans="2:12" ht="18.75" x14ac:dyDescent="0.3">
      <c r="B197" s="122"/>
      <c r="C197" s="123"/>
      <c r="D197" s="123"/>
      <c r="E197" s="117"/>
      <c r="F197" s="117"/>
      <c r="G197" s="117"/>
      <c r="H197" s="117"/>
      <c r="I197" s="117"/>
      <c r="J197" s="117"/>
      <c r="K197" s="117"/>
      <c r="L197" s="122"/>
    </row>
    <row r="198" spans="2:12" ht="18.75" x14ac:dyDescent="0.3">
      <c r="B198" s="122"/>
      <c r="C198" s="123"/>
      <c r="D198" s="123"/>
      <c r="E198" s="117"/>
      <c r="F198" s="117"/>
      <c r="G198" s="117"/>
      <c r="H198" s="117"/>
      <c r="I198" s="117"/>
      <c r="J198" s="117"/>
      <c r="K198" s="117"/>
      <c r="L198" s="122"/>
    </row>
    <row r="199" spans="2:12" ht="18.75" x14ac:dyDescent="0.3">
      <c r="B199" s="122"/>
      <c r="C199" s="123"/>
      <c r="D199" s="123"/>
      <c r="E199" s="117"/>
      <c r="F199" s="117"/>
      <c r="G199" s="117"/>
      <c r="H199" s="117"/>
      <c r="I199" s="117"/>
      <c r="J199" s="117"/>
      <c r="K199" s="117"/>
      <c r="L199" s="122"/>
    </row>
    <row r="200" spans="2:12" ht="18.75" x14ac:dyDescent="0.3">
      <c r="B200" s="122"/>
      <c r="C200" s="123"/>
      <c r="D200" s="123"/>
      <c r="E200" s="117"/>
      <c r="F200" s="117"/>
      <c r="G200" s="117"/>
      <c r="H200" s="117"/>
      <c r="I200" s="117"/>
      <c r="J200" s="117"/>
      <c r="K200" s="117"/>
      <c r="L200" s="122"/>
    </row>
    <row r="201" spans="2:12" ht="18.75" x14ac:dyDescent="0.3">
      <c r="B201" s="122"/>
      <c r="C201" s="123"/>
      <c r="D201" s="123"/>
      <c r="E201" s="117"/>
      <c r="F201" s="117"/>
      <c r="G201" s="117"/>
      <c r="H201" s="117"/>
      <c r="I201" s="117"/>
      <c r="J201" s="117"/>
      <c r="K201" s="117"/>
      <c r="L201" s="122"/>
    </row>
    <row r="202" spans="2:12" ht="18.75" x14ac:dyDescent="0.3">
      <c r="B202" s="122"/>
      <c r="C202" s="123"/>
      <c r="D202" s="123"/>
      <c r="E202" s="117"/>
      <c r="F202" s="117"/>
      <c r="G202" s="117"/>
      <c r="H202" s="117"/>
      <c r="I202" s="117"/>
      <c r="J202" s="117"/>
      <c r="K202" s="117"/>
      <c r="L202" s="122"/>
    </row>
    <row r="203" spans="2:12" ht="18.75" x14ac:dyDescent="0.3">
      <c r="B203" s="122"/>
      <c r="C203" s="123"/>
      <c r="D203" s="123"/>
      <c r="E203" s="117"/>
      <c r="F203" s="117"/>
      <c r="G203" s="117"/>
      <c r="H203" s="117"/>
      <c r="I203" s="117"/>
      <c r="J203" s="117"/>
      <c r="K203" s="117"/>
      <c r="L203" s="122"/>
    </row>
    <row r="204" spans="2:12" ht="18.75" x14ac:dyDescent="0.3">
      <c r="B204" s="122"/>
      <c r="C204" s="123"/>
      <c r="D204" s="123"/>
      <c r="E204" s="117"/>
      <c r="F204" s="117"/>
      <c r="G204" s="117"/>
      <c r="H204" s="117"/>
      <c r="I204" s="117"/>
      <c r="J204" s="117"/>
      <c r="K204" s="117"/>
      <c r="L204" s="122"/>
    </row>
    <row r="205" spans="2:12" ht="18.75" x14ac:dyDescent="0.3">
      <c r="B205" s="125"/>
      <c r="C205" s="126"/>
      <c r="D205" s="126"/>
      <c r="E205" s="126"/>
      <c r="F205" s="126"/>
      <c r="G205" s="117"/>
      <c r="H205" s="117"/>
      <c r="I205" s="117"/>
      <c r="J205" s="117"/>
      <c r="K205" s="117"/>
      <c r="L205" s="125"/>
    </row>
    <row r="206" spans="2:12" ht="18.75" x14ac:dyDescent="0.3">
      <c r="B206" s="133"/>
      <c r="C206" s="117"/>
      <c r="D206" s="117"/>
      <c r="E206" s="117"/>
      <c r="F206" s="117"/>
      <c r="G206" s="117"/>
      <c r="H206" s="117"/>
      <c r="I206" s="117"/>
      <c r="J206" s="117"/>
      <c r="K206" s="117"/>
      <c r="L206" s="133"/>
    </row>
    <row r="207" spans="2:12" ht="18.75" x14ac:dyDescent="0.3">
      <c r="B207" s="133"/>
      <c r="C207" s="117"/>
      <c r="D207" s="117"/>
      <c r="E207" s="117"/>
      <c r="F207" s="117"/>
      <c r="G207" s="117"/>
      <c r="H207" s="117"/>
      <c r="I207" s="117"/>
      <c r="J207" s="117"/>
      <c r="K207" s="117"/>
      <c r="L207" s="133"/>
    </row>
    <row r="208" spans="2:12" ht="18.75" x14ac:dyDescent="0.3">
      <c r="B208" s="141"/>
      <c r="C208" s="117"/>
      <c r="D208" s="117"/>
      <c r="E208" s="117"/>
      <c r="F208" s="117"/>
      <c r="G208" s="117"/>
      <c r="H208" s="117"/>
      <c r="I208" s="117"/>
      <c r="J208" s="117"/>
      <c r="K208" s="117"/>
      <c r="L208" s="141"/>
    </row>
    <row r="209" spans="2:12" ht="18.75" x14ac:dyDescent="0.3">
      <c r="B209" s="133"/>
      <c r="C209" s="117"/>
      <c r="D209" s="117"/>
      <c r="E209" s="117"/>
      <c r="F209" s="117"/>
      <c r="G209" s="117"/>
      <c r="H209" s="117"/>
      <c r="I209" s="117"/>
      <c r="J209" s="117"/>
      <c r="K209" s="117"/>
      <c r="L209" s="133"/>
    </row>
    <row r="210" spans="2:12" ht="18.75" x14ac:dyDescent="0.25">
      <c r="B210" s="127"/>
      <c r="C210" s="128"/>
      <c r="D210" s="128"/>
      <c r="E210" s="128"/>
      <c r="F210" s="128"/>
      <c r="G210" s="128"/>
      <c r="H210" s="128"/>
      <c r="I210" s="128"/>
      <c r="J210" s="128"/>
      <c r="K210" s="128"/>
      <c r="L210" s="127"/>
    </row>
    <row r="211" spans="2:12" ht="18.75" x14ac:dyDescent="0.3">
      <c r="B211" s="151"/>
      <c r="C211" s="152"/>
      <c r="D211" s="123"/>
      <c r="E211" s="123"/>
      <c r="F211" s="123"/>
      <c r="G211" s="153"/>
      <c r="H211" s="153"/>
      <c r="I211" s="153"/>
      <c r="J211" s="153"/>
      <c r="K211" s="153"/>
      <c r="L211" s="151"/>
    </row>
    <row r="212" spans="2:12" ht="18.75" x14ac:dyDescent="0.3">
      <c r="B212" s="151"/>
      <c r="C212" s="152"/>
      <c r="D212" s="123"/>
      <c r="E212" s="123"/>
      <c r="F212" s="123"/>
      <c r="G212" s="153"/>
      <c r="H212" s="153"/>
      <c r="I212" s="153"/>
      <c r="J212" s="153"/>
      <c r="K212" s="153"/>
      <c r="L212" s="151"/>
    </row>
    <row r="213" spans="2:12" ht="18.75" x14ac:dyDescent="0.3">
      <c r="B213" s="151"/>
      <c r="C213" s="152"/>
      <c r="D213" s="123"/>
      <c r="E213" s="123"/>
      <c r="F213" s="123"/>
      <c r="G213" s="153"/>
      <c r="H213" s="153"/>
      <c r="I213" s="153"/>
      <c r="J213" s="153"/>
      <c r="K213" s="153"/>
      <c r="L213" s="151"/>
    </row>
    <row r="214" spans="2:12" ht="18.75" x14ac:dyDescent="0.3">
      <c r="B214" s="151"/>
      <c r="C214" s="152"/>
      <c r="D214" s="117"/>
      <c r="E214" s="117"/>
      <c r="F214" s="123"/>
      <c r="G214" s="153"/>
      <c r="H214" s="153"/>
      <c r="I214" s="153"/>
      <c r="J214" s="153"/>
      <c r="K214" s="153"/>
      <c r="L214" s="151"/>
    </row>
    <row r="215" spans="2:12" ht="18.75" x14ac:dyDescent="0.3">
      <c r="B215" s="151"/>
      <c r="C215" s="152"/>
      <c r="D215" s="117"/>
      <c r="E215" s="117"/>
      <c r="F215" s="123"/>
      <c r="G215" s="140"/>
      <c r="H215" s="140"/>
      <c r="I215" s="140"/>
      <c r="J215" s="140"/>
      <c r="K215" s="140"/>
      <c r="L215" s="151"/>
    </row>
    <row r="216" spans="2:12" ht="18.75" x14ac:dyDescent="0.3">
      <c r="B216" s="151"/>
      <c r="C216" s="152"/>
      <c r="D216" s="117"/>
      <c r="E216" s="117"/>
      <c r="F216" s="123"/>
      <c r="G216" s="140"/>
      <c r="H216" s="140"/>
      <c r="I216" s="140"/>
      <c r="J216" s="140"/>
      <c r="K216" s="140"/>
      <c r="L216" s="151"/>
    </row>
    <row r="217" spans="2:12" ht="18.75" x14ac:dyDescent="0.3">
      <c r="B217" s="151"/>
      <c r="C217" s="152"/>
      <c r="D217" s="117"/>
      <c r="E217" s="117"/>
      <c r="F217" s="123"/>
      <c r="G217" s="140"/>
      <c r="H217" s="140"/>
      <c r="I217" s="140"/>
      <c r="J217" s="140"/>
      <c r="K217" s="140"/>
      <c r="L217" s="151"/>
    </row>
    <row r="218" spans="2:12" ht="18.75" x14ac:dyDescent="0.3">
      <c r="B218" s="151"/>
      <c r="C218" s="152"/>
      <c r="D218" s="117"/>
      <c r="E218" s="117"/>
      <c r="F218" s="123"/>
      <c r="G218" s="140"/>
      <c r="H218" s="140"/>
      <c r="I218" s="140"/>
      <c r="J218" s="140"/>
      <c r="K218" s="140"/>
      <c r="L218" s="151"/>
    </row>
    <row r="219" spans="2:12" ht="18.75" x14ac:dyDescent="0.3">
      <c r="B219" s="151"/>
      <c r="C219" s="152"/>
      <c r="D219" s="117"/>
      <c r="E219" s="117"/>
      <c r="F219" s="123"/>
      <c r="G219" s="140"/>
      <c r="H219" s="140"/>
      <c r="I219" s="140"/>
      <c r="J219" s="140"/>
      <c r="K219" s="140"/>
      <c r="L219" s="151"/>
    </row>
    <row r="220" spans="2:12" ht="18.75" x14ac:dyDescent="0.3">
      <c r="B220" s="151"/>
      <c r="C220" s="152"/>
      <c r="D220" s="117"/>
      <c r="E220" s="117"/>
      <c r="F220" s="123"/>
      <c r="G220" s="140"/>
      <c r="H220" s="140"/>
      <c r="I220" s="140"/>
      <c r="J220" s="140"/>
      <c r="K220" s="140"/>
      <c r="L220" s="151"/>
    </row>
    <row r="221" spans="2:12" ht="18.75" x14ac:dyDescent="0.3">
      <c r="B221" s="151"/>
      <c r="C221" s="152"/>
      <c r="D221" s="117"/>
      <c r="E221" s="117"/>
      <c r="F221" s="123"/>
      <c r="G221" s="140"/>
      <c r="H221" s="140"/>
      <c r="I221" s="140"/>
      <c r="J221" s="140"/>
      <c r="K221" s="140"/>
      <c r="L221" s="151"/>
    </row>
    <row r="222" spans="2:12" ht="18.75" x14ac:dyDescent="0.3">
      <c r="B222" s="151"/>
      <c r="C222" s="152"/>
      <c r="D222" s="117"/>
      <c r="E222" s="117"/>
      <c r="F222" s="123"/>
      <c r="G222" s="140"/>
      <c r="H222" s="140"/>
      <c r="I222" s="140"/>
      <c r="J222" s="140"/>
      <c r="K222" s="140"/>
      <c r="L222" s="151"/>
    </row>
    <row r="223" spans="2:12" ht="18.75" x14ac:dyDescent="0.3">
      <c r="B223" s="125"/>
      <c r="C223" s="126"/>
      <c r="D223" s="126"/>
      <c r="E223" s="126"/>
      <c r="F223" s="126"/>
      <c r="G223" s="117"/>
      <c r="H223" s="117"/>
      <c r="I223" s="117"/>
      <c r="J223" s="117"/>
      <c r="K223" s="117"/>
      <c r="L223" s="125"/>
    </row>
    <row r="224" spans="2:12" ht="18.75" x14ac:dyDescent="0.3">
      <c r="B224" s="133"/>
      <c r="C224" s="117"/>
      <c r="D224" s="117"/>
      <c r="E224" s="117"/>
      <c r="F224" s="117"/>
      <c r="G224" s="117"/>
      <c r="H224" s="117"/>
      <c r="I224" s="117"/>
      <c r="J224" s="117"/>
      <c r="K224" s="117"/>
      <c r="L224" s="133"/>
    </row>
    <row r="225" spans="2:12" ht="18.75" x14ac:dyDescent="0.25">
      <c r="B225" s="127"/>
      <c r="C225" s="128"/>
      <c r="D225" s="128"/>
      <c r="E225" s="128"/>
      <c r="F225" s="128"/>
      <c r="G225" s="128"/>
      <c r="H225" s="128"/>
      <c r="I225" s="128"/>
      <c r="J225" s="128"/>
      <c r="K225" s="128"/>
      <c r="L225" s="127"/>
    </row>
    <row r="226" spans="2:12" ht="18.75" x14ac:dyDescent="0.3">
      <c r="B226" s="122"/>
      <c r="C226" s="154"/>
      <c r="D226" s="155"/>
      <c r="E226" s="155"/>
      <c r="F226" s="154"/>
      <c r="G226" s="117"/>
      <c r="H226" s="117"/>
      <c r="I226" s="117"/>
      <c r="J226" s="117"/>
      <c r="K226" s="117"/>
      <c r="L226" s="122"/>
    </row>
    <row r="227" spans="2:12" ht="18.75" x14ac:dyDescent="0.3">
      <c r="B227" s="122"/>
      <c r="C227" s="154"/>
      <c r="D227" s="155"/>
      <c r="E227" s="155"/>
      <c r="F227" s="154"/>
      <c r="G227" s="117"/>
      <c r="H227" s="117"/>
      <c r="I227" s="117"/>
      <c r="J227" s="117"/>
      <c r="K227" s="117"/>
      <c r="L227" s="122"/>
    </row>
    <row r="228" spans="2:12" ht="18.75" x14ac:dyDescent="0.3">
      <c r="B228" s="122"/>
      <c r="C228" s="154"/>
      <c r="D228" s="155"/>
      <c r="E228" s="155"/>
      <c r="F228" s="154"/>
      <c r="G228" s="117"/>
      <c r="H228" s="117"/>
      <c r="I228" s="117"/>
      <c r="J228" s="117"/>
      <c r="K228" s="117"/>
      <c r="L228" s="122"/>
    </row>
    <row r="229" spans="2:12" ht="18.75" x14ac:dyDescent="0.3">
      <c r="B229" s="122"/>
      <c r="C229" s="154"/>
      <c r="D229" s="154"/>
      <c r="E229" s="155"/>
      <c r="F229" s="154"/>
      <c r="G229" s="117"/>
      <c r="H229" s="117"/>
      <c r="I229" s="117"/>
      <c r="J229" s="117"/>
      <c r="K229" s="117"/>
      <c r="L229" s="122"/>
    </row>
    <row r="230" spans="2:12" ht="18.75" x14ac:dyDescent="0.3">
      <c r="B230" s="122"/>
      <c r="C230" s="155"/>
      <c r="D230" s="155"/>
      <c r="E230" s="155"/>
      <c r="F230" s="155"/>
      <c r="G230" s="117"/>
      <c r="H230" s="117"/>
      <c r="I230" s="117"/>
      <c r="J230" s="117"/>
      <c r="K230" s="117"/>
      <c r="L230" s="122"/>
    </row>
    <row r="231" spans="2:12" ht="18.75" x14ac:dyDescent="0.3">
      <c r="B231" s="122"/>
      <c r="C231" s="155"/>
      <c r="D231" s="155"/>
      <c r="E231" s="155"/>
      <c r="F231" s="155"/>
      <c r="G231" s="117"/>
      <c r="H231" s="117"/>
      <c r="I231" s="117"/>
      <c r="J231" s="117"/>
      <c r="K231" s="117"/>
      <c r="L231" s="122"/>
    </row>
    <row r="232" spans="2:12" ht="18.75" x14ac:dyDescent="0.3">
      <c r="B232" s="122"/>
      <c r="C232" s="155"/>
      <c r="D232" s="155"/>
      <c r="E232" s="155"/>
      <c r="F232" s="155"/>
      <c r="G232" s="117"/>
      <c r="H232" s="117"/>
      <c r="I232" s="117"/>
      <c r="J232" s="117"/>
      <c r="K232" s="117"/>
      <c r="L232" s="122"/>
    </row>
    <row r="233" spans="2:12" ht="18.75" x14ac:dyDescent="0.3">
      <c r="B233" s="122"/>
      <c r="C233" s="155"/>
      <c r="D233" s="155"/>
      <c r="E233" s="155"/>
      <c r="F233" s="155"/>
      <c r="G233" s="117"/>
      <c r="H233" s="117"/>
      <c r="I233" s="117"/>
      <c r="J233" s="117"/>
      <c r="K233" s="117"/>
      <c r="L233" s="122"/>
    </row>
    <row r="234" spans="2:12" ht="18.75" x14ac:dyDescent="0.3">
      <c r="B234" s="122"/>
      <c r="C234" s="155"/>
      <c r="D234" s="155"/>
      <c r="E234" s="155"/>
      <c r="F234" s="155"/>
      <c r="G234" s="117"/>
      <c r="H234" s="117"/>
      <c r="I234" s="117"/>
      <c r="J234" s="117"/>
      <c r="K234" s="117"/>
      <c r="L234" s="122"/>
    </row>
    <row r="235" spans="2:12" ht="18.75" x14ac:dyDescent="0.3">
      <c r="B235" s="122"/>
      <c r="C235" s="155"/>
      <c r="D235" s="155"/>
      <c r="E235" s="155"/>
      <c r="F235" s="155"/>
      <c r="G235" s="117"/>
      <c r="H235" s="117"/>
      <c r="I235" s="117"/>
      <c r="J235" s="117"/>
      <c r="K235" s="117"/>
      <c r="L235" s="122"/>
    </row>
    <row r="236" spans="2:12" ht="18.75" x14ac:dyDescent="0.3">
      <c r="B236" s="122"/>
      <c r="C236" s="155"/>
      <c r="D236" s="155"/>
      <c r="E236" s="155"/>
      <c r="F236" s="155"/>
      <c r="G236" s="117"/>
      <c r="H236" s="117"/>
      <c r="I236" s="117"/>
      <c r="J236" s="117"/>
      <c r="K236" s="117"/>
      <c r="L236" s="122"/>
    </row>
    <row r="237" spans="2:12" ht="18.75" x14ac:dyDescent="0.3">
      <c r="B237" s="122"/>
      <c r="C237" s="155"/>
      <c r="D237" s="155"/>
      <c r="E237" s="155"/>
      <c r="F237" s="155"/>
      <c r="G237" s="117"/>
      <c r="H237" s="117"/>
      <c r="I237" s="117"/>
      <c r="J237" s="117"/>
      <c r="K237" s="117"/>
      <c r="L237" s="122"/>
    </row>
    <row r="238" spans="2:12" ht="18.75" x14ac:dyDescent="0.3">
      <c r="B238" s="125"/>
      <c r="C238" s="126"/>
      <c r="D238" s="126"/>
      <c r="E238" s="126"/>
      <c r="F238" s="126"/>
      <c r="G238" s="117"/>
      <c r="H238" s="117"/>
      <c r="I238" s="117"/>
      <c r="J238" s="117"/>
      <c r="K238" s="117"/>
      <c r="L238" s="125"/>
    </row>
    <row r="239" spans="2:12" ht="18.75" x14ac:dyDescent="0.3">
      <c r="B239" s="133"/>
      <c r="C239" s="117"/>
      <c r="D239" s="117"/>
      <c r="E239" s="117"/>
      <c r="F239" s="117"/>
      <c r="G239" s="117"/>
      <c r="H239" s="117"/>
      <c r="I239" s="117"/>
      <c r="J239" s="117"/>
      <c r="K239" s="117"/>
      <c r="L239" s="133"/>
    </row>
    <row r="240" spans="2:12" ht="18.75" x14ac:dyDescent="0.25">
      <c r="B240" s="127"/>
      <c r="C240" s="128"/>
      <c r="D240" s="128"/>
      <c r="E240" s="128"/>
      <c r="F240" s="128"/>
      <c r="G240" s="128"/>
      <c r="H240" s="128"/>
      <c r="I240" s="128"/>
      <c r="J240" s="128"/>
      <c r="K240" s="128"/>
      <c r="L240" s="127"/>
    </row>
    <row r="241" spans="2:30" ht="18.75" x14ac:dyDescent="0.3">
      <c r="B241" s="122"/>
      <c r="C241" s="123"/>
      <c r="D241" s="123"/>
      <c r="E241" s="123"/>
      <c r="F241" s="123"/>
      <c r="G241" s="134"/>
      <c r="H241" s="134"/>
      <c r="I241" s="134"/>
      <c r="J241" s="134"/>
      <c r="K241" s="134"/>
      <c r="L241" s="122"/>
    </row>
    <row r="242" spans="2:30" ht="18.75" x14ac:dyDescent="0.3">
      <c r="B242" s="122"/>
      <c r="C242" s="123"/>
      <c r="D242" s="123"/>
      <c r="E242" s="123"/>
      <c r="F242" s="123"/>
      <c r="G242" s="134"/>
      <c r="H242" s="134"/>
      <c r="I242" s="134"/>
      <c r="J242" s="134"/>
      <c r="K242" s="134"/>
      <c r="L242" s="122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</row>
    <row r="243" spans="2:30" ht="18.75" x14ac:dyDescent="0.3">
      <c r="B243" s="122"/>
      <c r="C243" s="123"/>
      <c r="D243" s="123"/>
      <c r="E243" s="123"/>
      <c r="F243" s="123"/>
      <c r="G243" s="134"/>
      <c r="H243" s="134"/>
      <c r="I243" s="134"/>
      <c r="J243" s="134"/>
      <c r="K243" s="134"/>
      <c r="L243" s="122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</row>
    <row r="244" spans="2:30" ht="18.75" x14ac:dyDescent="0.3">
      <c r="B244" s="122"/>
      <c r="C244" s="123"/>
      <c r="D244" s="123"/>
      <c r="E244" s="123"/>
      <c r="F244" s="123"/>
      <c r="G244" s="134"/>
      <c r="H244" s="134"/>
      <c r="I244" s="134"/>
      <c r="J244" s="134"/>
      <c r="K244" s="134"/>
      <c r="L244" s="122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</row>
    <row r="245" spans="2:30" ht="18.75" x14ac:dyDescent="0.3">
      <c r="B245" s="122"/>
      <c r="C245" s="123"/>
      <c r="D245" s="123"/>
      <c r="E245" s="123"/>
      <c r="F245" s="123"/>
      <c r="G245" s="134"/>
      <c r="H245" s="134"/>
      <c r="I245" s="134"/>
      <c r="J245" s="134"/>
      <c r="K245" s="134"/>
      <c r="L245" s="122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</row>
    <row r="246" spans="2:30" ht="18.75" x14ac:dyDescent="0.3">
      <c r="B246" s="122"/>
      <c r="C246" s="123"/>
      <c r="D246" s="123"/>
      <c r="E246" s="123"/>
      <c r="F246" s="123"/>
      <c r="G246" s="134"/>
      <c r="H246" s="134"/>
      <c r="I246" s="134"/>
      <c r="J246" s="134"/>
      <c r="K246" s="134"/>
      <c r="L246" s="122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</row>
    <row r="247" spans="2:30" ht="18.75" x14ac:dyDescent="0.3">
      <c r="B247" s="122"/>
      <c r="C247" s="123"/>
      <c r="D247" s="123"/>
      <c r="E247" s="123"/>
      <c r="F247" s="123"/>
      <c r="G247" s="134"/>
      <c r="H247" s="134"/>
      <c r="I247" s="134"/>
      <c r="J247" s="134"/>
      <c r="K247" s="134"/>
      <c r="L247" s="122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</row>
    <row r="248" spans="2:30" ht="18.75" x14ac:dyDescent="0.3">
      <c r="B248" s="122"/>
      <c r="C248" s="123"/>
      <c r="D248" s="123"/>
      <c r="E248" s="123"/>
      <c r="F248" s="123"/>
      <c r="G248" s="134"/>
      <c r="H248" s="134"/>
      <c r="I248" s="134"/>
      <c r="J248" s="134"/>
      <c r="K248" s="134"/>
      <c r="L248" s="122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</row>
    <row r="249" spans="2:30" ht="18.75" x14ac:dyDescent="0.3">
      <c r="B249" s="122"/>
      <c r="C249" s="123"/>
      <c r="D249" s="123"/>
      <c r="E249" s="123"/>
      <c r="F249" s="123"/>
      <c r="G249" s="134"/>
      <c r="H249" s="134"/>
      <c r="I249" s="134"/>
      <c r="J249" s="134"/>
      <c r="K249" s="134"/>
      <c r="L249" s="122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</row>
    <row r="250" spans="2:30" ht="18.75" x14ac:dyDescent="0.3">
      <c r="B250" s="122"/>
      <c r="C250" s="123"/>
      <c r="D250" s="123"/>
      <c r="E250" s="123"/>
      <c r="F250" s="123"/>
      <c r="G250" s="134"/>
      <c r="H250" s="134"/>
      <c r="I250" s="134"/>
      <c r="J250" s="134"/>
      <c r="K250" s="134"/>
      <c r="L250" s="122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</row>
    <row r="251" spans="2:30" ht="18.75" x14ac:dyDescent="0.3">
      <c r="B251" s="122"/>
      <c r="C251" s="123"/>
      <c r="D251" s="123"/>
      <c r="E251" s="123"/>
      <c r="F251" s="123"/>
      <c r="G251" s="134"/>
      <c r="H251" s="134"/>
      <c r="I251" s="134"/>
      <c r="J251" s="134"/>
      <c r="K251" s="134"/>
      <c r="L251" s="122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</row>
    <row r="252" spans="2:30" ht="18.75" x14ac:dyDescent="0.3">
      <c r="B252" s="122"/>
      <c r="C252" s="123"/>
      <c r="D252" s="123"/>
      <c r="E252" s="123"/>
      <c r="F252" s="123"/>
      <c r="G252" s="134"/>
      <c r="H252" s="134"/>
      <c r="I252" s="134"/>
      <c r="J252" s="134"/>
      <c r="K252" s="134"/>
      <c r="L252" s="122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</row>
    <row r="253" spans="2:30" ht="18.75" x14ac:dyDescent="0.3">
      <c r="B253" s="125"/>
      <c r="C253" s="126"/>
      <c r="D253" s="126"/>
      <c r="E253" s="126"/>
      <c r="F253" s="126"/>
      <c r="G253" s="117"/>
      <c r="H253" s="117"/>
      <c r="I253" s="117"/>
      <c r="J253" s="117"/>
      <c r="K253" s="117"/>
      <c r="L253" s="125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</row>
    <row r="254" spans="2:30" ht="18.75" x14ac:dyDescent="0.3">
      <c r="B254" s="133"/>
      <c r="C254" s="117"/>
      <c r="D254" s="117"/>
      <c r="E254" s="117"/>
      <c r="F254" s="117"/>
      <c r="G254" s="117"/>
      <c r="H254" s="117"/>
      <c r="I254" s="117"/>
      <c r="J254" s="117"/>
      <c r="K254" s="117"/>
      <c r="L254" s="133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</row>
    <row r="255" spans="2:30" ht="18.75" x14ac:dyDescent="0.3">
      <c r="B255" s="127"/>
      <c r="C255" s="128"/>
      <c r="D255" s="128"/>
      <c r="E255" s="128"/>
      <c r="F255" s="128"/>
      <c r="G255" s="128"/>
      <c r="H255" s="128"/>
      <c r="I255" s="128"/>
      <c r="J255" s="128"/>
      <c r="K255" s="128"/>
      <c r="L255" s="127"/>
      <c r="M255" s="156"/>
      <c r="N255" s="139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  <c r="AA255" s="157"/>
      <c r="AB255" s="157"/>
      <c r="AC255" s="157"/>
      <c r="AD255" s="140"/>
    </row>
    <row r="256" spans="2:30" ht="18.75" x14ac:dyDescent="0.3">
      <c r="B256" s="122"/>
      <c r="C256" s="158"/>
      <c r="D256" s="158"/>
      <c r="E256" s="148"/>
      <c r="F256" s="158"/>
      <c r="G256" s="148"/>
      <c r="H256" s="148"/>
      <c r="I256" s="148"/>
      <c r="J256" s="148"/>
      <c r="K256" s="148"/>
      <c r="L256" s="122"/>
      <c r="M256" s="156"/>
      <c r="N256" s="139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  <c r="Y256" s="157"/>
      <c r="Z256" s="157"/>
      <c r="AA256" s="157"/>
      <c r="AB256" s="157"/>
      <c r="AC256" s="157"/>
      <c r="AD256" s="140"/>
    </row>
    <row r="257" spans="2:30" ht="18.75" x14ac:dyDescent="0.3">
      <c r="B257" s="122"/>
      <c r="C257" s="158"/>
      <c r="D257" s="158"/>
      <c r="E257" s="148"/>
      <c r="F257" s="158"/>
      <c r="G257" s="148"/>
      <c r="H257" s="148"/>
      <c r="I257" s="148"/>
      <c r="J257" s="148"/>
      <c r="K257" s="148"/>
      <c r="L257" s="122"/>
      <c r="M257" s="156"/>
      <c r="N257" s="139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  <c r="Y257" s="157"/>
      <c r="Z257" s="157"/>
      <c r="AA257" s="157"/>
      <c r="AB257" s="157"/>
      <c r="AC257" s="157"/>
      <c r="AD257" s="140"/>
    </row>
    <row r="258" spans="2:30" ht="18.75" x14ac:dyDescent="0.3">
      <c r="B258" s="122"/>
      <c r="C258" s="158"/>
      <c r="D258" s="158"/>
      <c r="E258" s="148"/>
      <c r="F258" s="158"/>
      <c r="G258" s="148"/>
      <c r="H258" s="148"/>
      <c r="I258" s="148"/>
      <c r="J258" s="148"/>
      <c r="K258" s="148"/>
      <c r="L258" s="122"/>
      <c r="M258" s="156"/>
      <c r="N258" s="139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  <c r="AA258" s="157"/>
      <c r="AB258" s="157"/>
      <c r="AC258" s="157"/>
      <c r="AD258" s="140"/>
    </row>
    <row r="259" spans="2:30" ht="18.75" x14ac:dyDescent="0.3">
      <c r="B259" s="122"/>
      <c r="C259" s="158"/>
      <c r="D259" s="158"/>
      <c r="E259" s="148"/>
      <c r="F259" s="158"/>
      <c r="G259" s="148"/>
      <c r="H259" s="148"/>
      <c r="I259" s="148"/>
      <c r="J259" s="148"/>
      <c r="K259" s="148"/>
      <c r="L259" s="122"/>
      <c r="M259" s="156"/>
      <c r="N259" s="139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  <c r="AA259" s="157"/>
      <c r="AB259" s="157"/>
      <c r="AC259" s="157"/>
      <c r="AD259" s="140"/>
    </row>
    <row r="260" spans="2:30" ht="18.75" x14ac:dyDescent="0.3">
      <c r="B260" s="122"/>
      <c r="C260" s="158"/>
      <c r="D260" s="158"/>
      <c r="E260" s="148"/>
      <c r="F260" s="158"/>
      <c r="G260" s="148"/>
      <c r="H260" s="148"/>
      <c r="I260" s="148"/>
      <c r="J260" s="148"/>
      <c r="K260" s="148"/>
      <c r="L260" s="122"/>
      <c r="M260" s="156"/>
      <c r="N260" s="139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  <c r="AA260" s="157"/>
      <c r="AB260" s="157"/>
      <c r="AC260" s="157"/>
      <c r="AD260" s="140"/>
    </row>
    <row r="261" spans="2:30" ht="18.75" x14ac:dyDescent="0.3">
      <c r="B261" s="122"/>
      <c r="C261" s="158"/>
      <c r="D261" s="158"/>
      <c r="E261" s="148"/>
      <c r="F261" s="158"/>
      <c r="G261" s="148"/>
      <c r="H261" s="148"/>
      <c r="I261" s="148"/>
      <c r="J261" s="148"/>
      <c r="K261" s="148"/>
      <c r="L261" s="122"/>
      <c r="M261" s="156"/>
      <c r="N261" s="139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  <c r="AA261" s="157"/>
      <c r="AB261" s="157"/>
      <c r="AC261" s="157"/>
      <c r="AD261" s="140"/>
    </row>
    <row r="262" spans="2:30" ht="18.75" x14ac:dyDescent="0.3">
      <c r="B262" s="122"/>
      <c r="C262" s="158"/>
      <c r="D262" s="158"/>
      <c r="E262" s="148"/>
      <c r="F262" s="158"/>
      <c r="G262" s="148"/>
      <c r="H262" s="148"/>
      <c r="I262" s="148"/>
      <c r="J262" s="148"/>
      <c r="K262" s="148"/>
      <c r="L262" s="122"/>
      <c r="M262" s="156"/>
      <c r="N262" s="139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  <c r="Y262" s="157"/>
      <c r="Z262" s="157"/>
      <c r="AA262" s="157"/>
      <c r="AB262" s="157"/>
      <c r="AC262" s="157"/>
      <c r="AD262" s="140"/>
    </row>
    <row r="263" spans="2:30" ht="18.75" x14ac:dyDescent="0.3">
      <c r="B263" s="122"/>
      <c r="C263" s="158"/>
      <c r="D263" s="158"/>
      <c r="E263" s="148"/>
      <c r="F263" s="158"/>
      <c r="G263" s="148"/>
      <c r="H263" s="148"/>
      <c r="I263" s="148"/>
      <c r="J263" s="148"/>
      <c r="K263" s="148"/>
      <c r="L263" s="122"/>
      <c r="M263" s="156"/>
      <c r="N263" s="139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  <c r="Y263" s="157"/>
      <c r="Z263" s="157"/>
      <c r="AA263" s="157"/>
      <c r="AB263" s="157"/>
      <c r="AC263" s="157"/>
      <c r="AD263" s="140"/>
    </row>
    <row r="264" spans="2:30" ht="18.75" x14ac:dyDescent="0.3">
      <c r="B264" s="122"/>
      <c r="C264" s="158"/>
      <c r="D264" s="158"/>
      <c r="E264" s="148"/>
      <c r="F264" s="158"/>
      <c r="G264" s="148"/>
      <c r="H264" s="148"/>
      <c r="I264" s="148"/>
      <c r="J264" s="148"/>
      <c r="K264" s="148"/>
      <c r="L264" s="122"/>
      <c r="M264" s="156"/>
      <c r="N264" s="139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  <c r="AA264" s="157"/>
      <c r="AB264" s="157"/>
      <c r="AC264" s="157"/>
      <c r="AD264" s="140"/>
    </row>
    <row r="265" spans="2:30" ht="18.75" x14ac:dyDescent="0.3">
      <c r="B265" s="122"/>
      <c r="C265" s="158"/>
      <c r="D265" s="158"/>
      <c r="E265" s="148"/>
      <c r="F265" s="158"/>
      <c r="G265" s="148"/>
      <c r="H265" s="148"/>
      <c r="I265" s="148"/>
      <c r="J265" s="148"/>
      <c r="K265" s="148"/>
      <c r="L265" s="122"/>
      <c r="M265" s="156"/>
      <c r="N265" s="139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  <c r="AA265" s="157"/>
      <c r="AB265" s="157"/>
      <c r="AC265" s="157"/>
      <c r="AD265" s="140"/>
    </row>
    <row r="266" spans="2:30" ht="18.75" x14ac:dyDescent="0.3">
      <c r="B266" s="122"/>
      <c r="C266" s="158"/>
      <c r="D266" s="158"/>
      <c r="E266" s="148"/>
      <c r="F266" s="158"/>
      <c r="G266" s="148"/>
      <c r="H266" s="148"/>
      <c r="I266" s="148"/>
      <c r="J266" s="148"/>
      <c r="K266" s="148"/>
      <c r="L266" s="122"/>
      <c r="M266" s="156"/>
      <c r="N266" s="139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  <c r="AA266" s="157"/>
      <c r="AB266" s="157"/>
      <c r="AC266" s="157"/>
      <c r="AD266" s="140"/>
    </row>
    <row r="267" spans="2:30" ht="18.75" x14ac:dyDescent="0.3">
      <c r="B267" s="122"/>
      <c r="C267" s="158"/>
      <c r="D267" s="158"/>
      <c r="E267" s="148"/>
      <c r="F267" s="158"/>
      <c r="G267" s="148"/>
      <c r="H267" s="148"/>
      <c r="I267" s="148"/>
      <c r="J267" s="148"/>
      <c r="K267" s="148"/>
      <c r="L267" s="122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  <c r="AD267" s="121"/>
    </row>
    <row r="268" spans="2:30" ht="18.75" x14ac:dyDescent="0.3">
      <c r="B268" s="125"/>
      <c r="C268" s="126"/>
      <c r="D268" s="126"/>
      <c r="E268" s="126"/>
      <c r="F268" s="126"/>
      <c r="G268" s="117"/>
      <c r="H268" s="117"/>
      <c r="I268" s="117"/>
      <c r="J268" s="117"/>
      <c r="K268" s="117"/>
      <c r="L268" s="125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  <c r="AD268" s="121"/>
    </row>
    <row r="269" spans="2:30" ht="18.75" x14ac:dyDescent="0.3">
      <c r="B269" s="133"/>
      <c r="C269" s="117"/>
      <c r="D269" s="117"/>
      <c r="E269" s="117"/>
      <c r="F269" s="117"/>
      <c r="G269" s="117"/>
      <c r="H269" s="117"/>
      <c r="I269" s="117"/>
      <c r="J269" s="117"/>
      <c r="K269" s="117"/>
      <c r="L269" s="133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  <c r="AD269" s="121"/>
    </row>
    <row r="270" spans="2:30" ht="18.75" x14ac:dyDescent="0.25">
      <c r="B270" s="127"/>
      <c r="C270" s="128"/>
      <c r="D270" s="128"/>
      <c r="E270" s="128"/>
      <c r="F270" s="128"/>
      <c r="G270" s="128"/>
      <c r="H270" s="128"/>
      <c r="I270" s="128"/>
      <c r="J270" s="128"/>
      <c r="K270" s="128"/>
      <c r="L270" s="127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  <c r="AD270" s="121"/>
    </row>
    <row r="271" spans="2:30" ht="18.75" x14ac:dyDescent="0.3">
      <c r="B271" s="122"/>
      <c r="C271" s="129"/>
      <c r="D271" s="117"/>
      <c r="E271" s="117"/>
      <c r="F271" s="117"/>
      <c r="G271" s="117"/>
      <c r="H271" s="117"/>
      <c r="I271" s="117"/>
      <c r="J271" s="117"/>
      <c r="K271" s="117"/>
      <c r="L271" s="122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  <c r="AD271" s="121"/>
    </row>
    <row r="272" spans="2:30" ht="18.75" x14ac:dyDescent="0.3">
      <c r="B272" s="122"/>
      <c r="C272" s="129"/>
      <c r="D272" s="129"/>
      <c r="E272" s="117"/>
      <c r="F272" s="117"/>
      <c r="G272" s="117"/>
      <c r="H272" s="117"/>
      <c r="I272" s="117"/>
      <c r="J272" s="117"/>
      <c r="K272" s="117"/>
      <c r="L272" s="122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  <c r="AD272" s="121"/>
    </row>
    <row r="273" spans="2:30" ht="18.75" x14ac:dyDescent="0.3">
      <c r="B273" s="122"/>
      <c r="C273" s="129"/>
      <c r="D273" s="117"/>
      <c r="E273" s="117"/>
      <c r="F273" s="117"/>
      <c r="G273" s="117"/>
      <c r="H273" s="117"/>
      <c r="I273" s="117"/>
      <c r="J273" s="117"/>
      <c r="K273" s="117"/>
      <c r="L273" s="122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  <c r="AA273" s="121"/>
      <c r="AB273" s="121"/>
      <c r="AC273" s="121"/>
      <c r="AD273" s="121"/>
    </row>
    <row r="274" spans="2:30" ht="18.75" x14ac:dyDescent="0.3">
      <c r="B274" s="122"/>
      <c r="C274" s="117"/>
      <c r="D274" s="117"/>
      <c r="E274" s="117"/>
      <c r="F274" s="117"/>
      <c r="G274" s="117"/>
      <c r="H274" s="117"/>
      <c r="I274" s="117"/>
      <c r="J274" s="117"/>
      <c r="K274" s="117"/>
      <c r="L274" s="122"/>
    </row>
    <row r="275" spans="2:30" ht="18.75" x14ac:dyDescent="0.3">
      <c r="B275" s="122"/>
      <c r="C275" s="117"/>
      <c r="D275" s="117"/>
      <c r="E275" s="117"/>
      <c r="F275" s="117"/>
      <c r="G275" s="117"/>
      <c r="H275" s="117"/>
      <c r="I275" s="117"/>
      <c r="J275" s="117"/>
      <c r="K275" s="117"/>
      <c r="L275" s="122"/>
    </row>
    <row r="276" spans="2:30" ht="18.75" x14ac:dyDescent="0.3">
      <c r="B276" s="122"/>
      <c r="C276" s="117"/>
      <c r="D276" s="117"/>
      <c r="E276" s="117"/>
      <c r="F276" s="117"/>
      <c r="G276" s="117"/>
      <c r="H276" s="117"/>
      <c r="I276" s="117"/>
      <c r="J276" s="117"/>
      <c r="K276" s="117"/>
      <c r="L276" s="122"/>
    </row>
    <row r="277" spans="2:30" ht="18.75" x14ac:dyDescent="0.3">
      <c r="B277" s="122"/>
      <c r="C277" s="117"/>
      <c r="D277" s="117"/>
      <c r="E277" s="117"/>
      <c r="F277" s="117"/>
      <c r="G277" s="117"/>
      <c r="H277" s="117"/>
      <c r="I277" s="117"/>
      <c r="J277" s="117"/>
      <c r="K277" s="117"/>
      <c r="L277" s="122"/>
    </row>
    <row r="278" spans="2:30" ht="18.75" x14ac:dyDescent="0.3">
      <c r="B278" s="122"/>
      <c r="C278" s="117"/>
      <c r="D278" s="117"/>
      <c r="E278" s="117"/>
      <c r="F278" s="117"/>
      <c r="G278" s="117"/>
      <c r="H278" s="117"/>
      <c r="I278" s="117"/>
      <c r="J278" s="117"/>
      <c r="K278" s="117"/>
      <c r="L278" s="122"/>
    </row>
    <row r="279" spans="2:30" ht="18.75" x14ac:dyDescent="0.3">
      <c r="B279" s="122"/>
      <c r="C279" s="117"/>
      <c r="D279" s="117"/>
      <c r="E279" s="117"/>
      <c r="F279" s="117"/>
      <c r="G279" s="117"/>
      <c r="H279" s="117"/>
      <c r="I279" s="117"/>
      <c r="J279" s="117"/>
      <c r="K279" s="117"/>
      <c r="L279" s="122"/>
    </row>
    <row r="280" spans="2:30" ht="18.75" x14ac:dyDescent="0.3">
      <c r="B280" s="122"/>
      <c r="C280" s="117"/>
      <c r="D280" s="117"/>
      <c r="E280" s="117"/>
      <c r="F280" s="117"/>
      <c r="G280" s="117"/>
      <c r="H280" s="117"/>
      <c r="I280" s="117"/>
      <c r="J280" s="117"/>
      <c r="K280" s="117"/>
      <c r="L280" s="122"/>
    </row>
    <row r="281" spans="2:30" ht="18.75" x14ac:dyDescent="0.3">
      <c r="B281" s="122"/>
      <c r="C281" s="117"/>
      <c r="D281" s="117"/>
      <c r="E281" s="117"/>
      <c r="F281" s="117"/>
      <c r="G281" s="117"/>
      <c r="H281" s="117"/>
      <c r="I281" s="117"/>
      <c r="J281" s="117"/>
      <c r="K281" s="117"/>
      <c r="L281" s="122"/>
    </row>
    <row r="282" spans="2:30" ht="18.75" x14ac:dyDescent="0.3">
      <c r="B282" s="122"/>
      <c r="C282" s="117"/>
      <c r="D282" s="117"/>
      <c r="E282" s="117"/>
      <c r="F282" s="117"/>
      <c r="G282" s="117"/>
      <c r="H282" s="117"/>
      <c r="I282" s="117"/>
      <c r="J282" s="117"/>
      <c r="K282" s="117"/>
      <c r="L282" s="122"/>
    </row>
    <row r="283" spans="2:30" ht="18.75" x14ac:dyDescent="0.3">
      <c r="B283" s="125"/>
      <c r="C283" s="126"/>
      <c r="D283" s="126"/>
      <c r="E283" s="126"/>
      <c r="F283" s="126"/>
      <c r="G283" s="117"/>
      <c r="H283" s="117"/>
      <c r="I283" s="117"/>
      <c r="J283" s="117"/>
      <c r="K283" s="117"/>
      <c r="L283" s="125"/>
    </row>
    <row r="284" spans="2:30" ht="18.75" x14ac:dyDescent="0.3">
      <c r="B284" s="133"/>
      <c r="C284" s="117"/>
      <c r="D284" s="117"/>
      <c r="E284" s="117"/>
      <c r="F284" s="117"/>
      <c r="G284" s="117"/>
      <c r="H284" s="117"/>
      <c r="I284" s="117"/>
      <c r="J284" s="117"/>
      <c r="K284" s="117"/>
      <c r="L284" s="133"/>
    </row>
    <row r="285" spans="2:30" ht="18.75" x14ac:dyDescent="0.25">
      <c r="B285" s="127"/>
      <c r="C285" s="128"/>
      <c r="D285" s="128"/>
      <c r="E285" s="128"/>
      <c r="F285" s="128"/>
      <c r="G285" s="128"/>
      <c r="H285" s="128"/>
      <c r="I285" s="128"/>
      <c r="J285" s="128"/>
      <c r="K285" s="128"/>
      <c r="L285" s="127"/>
    </row>
    <row r="286" spans="2:30" ht="18.75" x14ac:dyDescent="0.3">
      <c r="B286" s="122"/>
      <c r="C286" s="155"/>
      <c r="D286" s="159"/>
      <c r="E286" s="117"/>
      <c r="F286" s="155"/>
      <c r="G286" s="140"/>
      <c r="H286" s="140"/>
      <c r="I286" s="140"/>
      <c r="J286" s="140"/>
      <c r="K286" s="140"/>
      <c r="L286" s="122"/>
    </row>
    <row r="287" spans="2:30" ht="18.75" x14ac:dyDescent="0.3">
      <c r="B287" s="122"/>
      <c r="C287" s="155"/>
      <c r="D287" s="159"/>
      <c r="E287" s="117"/>
      <c r="F287" s="155"/>
      <c r="G287" s="140"/>
      <c r="H287" s="140"/>
      <c r="I287" s="140"/>
      <c r="J287" s="140"/>
      <c r="K287" s="140"/>
      <c r="L287" s="122"/>
    </row>
    <row r="288" spans="2:30" ht="18.75" x14ac:dyDescent="0.3">
      <c r="B288" s="122"/>
      <c r="C288" s="155"/>
      <c r="D288" s="159"/>
      <c r="E288" s="117"/>
      <c r="F288" s="155"/>
      <c r="G288" s="140"/>
      <c r="H288" s="140"/>
      <c r="I288" s="140"/>
      <c r="J288" s="140"/>
      <c r="K288" s="140"/>
      <c r="L288" s="122"/>
    </row>
    <row r="289" spans="2:12" ht="18.75" x14ac:dyDescent="0.3">
      <c r="B289" s="122"/>
      <c r="C289" s="155"/>
      <c r="D289" s="159"/>
      <c r="E289" s="117"/>
      <c r="F289" s="155"/>
      <c r="G289" s="140"/>
      <c r="H289" s="140"/>
      <c r="I289" s="140"/>
      <c r="J289" s="140"/>
      <c r="K289" s="140"/>
      <c r="L289" s="122"/>
    </row>
    <row r="290" spans="2:12" ht="18.75" x14ac:dyDescent="0.3">
      <c r="B290" s="122"/>
      <c r="C290" s="155"/>
      <c r="D290" s="159"/>
      <c r="E290" s="117"/>
      <c r="F290" s="155"/>
      <c r="G290" s="140"/>
      <c r="H290" s="140"/>
      <c r="I290" s="140"/>
      <c r="J290" s="140"/>
      <c r="K290" s="140"/>
      <c r="L290" s="122"/>
    </row>
    <row r="291" spans="2:12" ht="18.75" x14ac:dyDescent="0.3">
      <c r="B291" s="122"/>
      <c r="C291" s="155"/>
      <c r="D291" s="159"/>
      <c r="E291" s="117"/>
      <c r="F291" s="155"/>
      <c r="G291" s="140"/>
      <c r="H291" s="140"/>
      <c r="I291" s="140"/>
      <c r="J291" s="140"/>
      <c r="K291" s="140"/>
      <c r="L291" s="122"/>
    </row>
    <row r="292" spans="2:12" ht="18.75" x14ac:dyDescent="0.3">
      <c r="B292" s="122"/>
      <c r="C292" s="155"/>
      <c r="D292" s="159"/>
      <c r="E292" s="117"/>
      <c r="F292" s="155"/>
      <c r="G292" s="140"/>
      <c r="H292" s="140"/>
      <c r="I292" s="140"/>
      <c r="J292" s="140"/>
      <c r="K292" s="140"/>
      <c r="L292" s="122"/>
    </row>
    <row r="293" spans="2:12" ht="18.75" x14ac:dyDescent="0.3">
      <c r="B293" s="122"/>
      <c r="C293" s="155"/>
      <c r="D293" s="159"/>
      <c r="E293" s="117"/>
      <c r="F293" s="155"/>
      <c r="G293" s="140"/>
      <c r="H293" s="140"/>
      <c r="I293" s="140"/>
      <c r="J293" s="140"/>
      <c r="K293" s="140"/>
      <c r="L293" s="122"/>
    </row>
    <row r="294" spans="2:12" ht="18.75" x14ac:dyDescent="0.3">
      <c r="B294" s="122"/>
      <c r="C294" s="155"/>
      <c r="D294" s="159"/>
      <c r="E294" s="117"/>
      <c r="F294" s="155"/>
      <c r="G294" s="140"/>
      <c r="H294" s="140"/>
      <c r="I294" s="140"/>
      <c r="J294" s="140"/>
      <c r="K294" s="140"/>
      <c r="L294" s="122"/>
    </row>
    <row r="295" spans="2:12" ht="18.75" x14ac:dyDescent="0.3">
      <c r="B295" s="122"/>
      <c r="C295" s="155"/>
      <c r="D295" s="159"/>
      <c r="E295" s="117"/>
      <c r="F295" s="155"/>
      <c r="G295" s="140"/>
      <c r="H295" s="140"/>
      <c r="I295" s="140"/>
      <c r="J295" s="140"/>
      <c r="K295" s="140"/>
      <c r="L295" s="122"/>
    </row>
    <row r="296" spans="2:12" ht="18.75" x14ac:dyDescent="0.3">
      <c r="B296" s="122"/>
      <c r="C296" s="155"/>
      <c r="D296" s="159"/>
      <c r="E296" s="117"/>
      <c r="F296" s="155"/>
      <c r="G296" s="140"/>
      <c r="H296" s="140"/>
      <c r="I296" s="140"/>
      <c r="J296" s="140"/>
      <c r="K296" s="140"/>
      <c r="L296" s="122"/>
    </row>
    <row r="297" spans="2:12" ht="18.75" x14ac:dyDescent="0.3">
      <c r="B297" s="122"/>
      <c r="C297" s="155"/>
      <c r="D297" s="159"/>
      <c r="E297" s="117"/>
      <c r="F297" s="155"/>
      <c r="G297" s="140"/>
      <c r="H297" s="140"/>
      <c r="I297" s="140"/>
      <c r="J297" s="140"/>
      <c r="K297" s="140"/>
      <c r="L297" s="122"/>
    </row>
    <row r="298" spans="2:12" ht="18.75" x14ac:dyDescent="0.3">
      <c r="B298" s="125"/>
      <c r="C298" s="126"/>
      <c r="D298" s="126"/>
      <c r="E298" s="126"/>
      <c r="F298" s="126"/>
      <c r="G298" s="117"/>
      <c r="H298" s="117"/>
      <c r="I298" s="117"/>
      <c r="J298" s="117"/>
      <c r="K298" s="117"/>
      <c r="L298" s="125"/>
    </row>
    <row r="299" spans="2:12" ht="18.75" x14ac:dyDescent="0.3">
      <c r="B299" s="125"/>
      <c r="C299" s="126"/>
      <c r="D299" s="126"/>
      <c r="E299" s="126"/>
      <c r="F299" s="126"/>
      <c r="G299" s="117"/>
      <c r="H299" s="117"/>
      <c r="I299" s="117"/>
      <c r="J299" s="117"/>
      <c r="K299" s="117"/>
      <c r="L299" s="125"/>
    </row>
    <row r="300" spans="2:12" ht="18.75" x14ac:dyDescent="0.25">
      <c r="B300" s="127"/>
      <c r="C300" s="128"/>
      <c r="D300" s="128"/>
      <c r="E300" s="128"/>
      <c r="F300" s="128"/>
      <c r="G300" s="128"/>
      <c r="H300" s="128"/>
      <c r="I300" s="128"/>
      <c r="J300" s="128"/>
      <c r="K300" s="128"/>
      <c r="L300" s="127"/>
    </row>
    <row r="301" spans="2:12" ht="18.75" x14ac:dyDescent="0.3">
      <c r="B301" s="160"/>
      <c r="C301" s="161"/>
      <c r="D301" s="162"/>
      <c r="E301" s="163"/>
      <c r="F301" s="163"/>
      <c r="G301" s="125"/>
      <c r="H301" s="125"/>
      <c r="I301" s="125"/>
      <c r="J301" s="125"/>
      <c r="K301" s="125"/>
      <c r="L301" s="160"/>
    </row>
    <row r="302" spans="2:12" ht="18.75" x14ac:dyDescent="0.3">
      <c r="B302" s="160"/>
      <c r="C302" s="161"/>
      <c r="D302" s="162"/>
      <c r="E302" s="163"/>
      <c r="F302" s="163"/>
      <c r="G302" s="125"/>
      <c r="H302" s="125"/>
      <c r="I302" s="125"/>
      <c r="J302" s="125"/>
      <c r="K302" s="125"/>
      <c r="L302" s="160"/>
    </row>
    <row r="303" spans="2:12" ht="18.75" x14ac:dyDescent="0.3">
      <c r="B303" s="160"/>
      <c r="C303" s="161"/>
      <c r="D303" s="162"/>
      <c r="E303" s="163"/>
      <c r="F303" s="163"/>
      <c r="G303" s="125"/>
      <c r="H303" s="125"/>
      <c r="I303" s="125"/>
      <c r="J303" s="125"/>
      <c r="K303" s="125"/>
      <c r="L303" s="160"/>
    </row>
    <row r="304" spans="2:12" ht="18.75" x14ac:dyDescent="0.3">
      <c r="B304" s="160"/>
      <c r="C304" s="164"/>
      <c r="D304" s="164"/>
      <c r="E304" s="165"/>
      <c r="F304" s="166"/>
      <c r="G304" s="125"/>
      <c r="H304" s="125"/>
      <c r="I304" s="125"/>
      <c r="J304" s="125"/>
      <c r="K304" s="125"/>
      <c r="L304" s="160"/>
    </row>
    <row r="305" spans="2:12" ht="18.75" x14ac:dyDescent="0.3">
      <c r="B305" s="160"/>
      <c r="C305" s="164"/>
      <c r="D305" s="164"/>
      <c r="E305" s="165"/>
      <c r="F305" s="166"/>
      <c r="G305" s="125"/>
      <c r="H305" s="125"/>
      <c r="I305" s="125"/>
      <c r="J305" s="125"/>
      <c r="K305" s="125"/>
      <c r="L305" s="160"/>
    </row>
    <row r="306" spans="2:12" ht="18.75" x14ac:dyDescent="0.3">
      <c r="B306" s="160"/>
      <c r="C306" s="164"/>
      <c r="D306" s="164"/>
      <c r="E306" s="165"/>
      <c r="F306" s="166"/>
      <c r="G306" s="125"/>
      <c r="H306" s="125"/>
      <c r="I306" s="125"/>
      <c r="J306" s="125"/>
      <c r="K306" s="125"/>
      <c r="L306" s="160"/>
    </row>
    <row r="307" spans="2:12" ht="18.75" x14ac:dyDescent="0.3">
      <c r="B307" s="160"/>
      <c r="C307" s="164"/>
      <c r="D307" s="164"/>
      <c r="E307" s="165"/>
      <c r="F307" s="166"/>
      <c r="G307" s="125"/>
      <c r="H307" s="125"/>
      <c r="I307" s="125"/>
      <c r="J307" s="125"/>
      <c r="K307" s="125"/>
      <c r="L307" s="160"/>
    </row>
    <row r="308" spans="2:12" ht="18.75" x14ac:dyDescent="0.3">
      <c r="B308" s="160"/>
      <c r="C308" s="164"/>
      <c r="D308" s="164"/>
      <c r="E308" s="165"/>
      <c r="F308" s="166"/>
      <c r="G308" s="125"/>
      <c r="H308" s="125"/>
      <c r="I308" s="125"/>
      <c r="J308" s="125"/>
      <c r="K308" s="125"/>
      <c r="L308" s="160"/>
    </row>
    <row r="309" spans="2:12" ht="18.75" x14ac:dyDescent="0.3">
      <c r="B309" s="160"/>
      <c r="C309" s="164"/>
      <c r="D309" s="164"/>
      <c r="E309" s="165"/>
      <c r="F309" s="166"/>
      <c r="G309" s="125"/>
      <c r="H309" s="125"/>
      <c r="I309" s="125"/>
      <c r="J309" s="125"/>
      <c r="K309" s="125"/>
      <c r="L309" s="160"/>
    </row>
    <row r="310" spans="2:12" ht="18.75" x14ac:dyDescent="0.3">
      <c r="B310" s="160"/>
      <c r="C310" s="164"/>
      <c r="D310" s="164"/>
      <c r="E310" s="165"/>
      <c r="F310" s="166"/>
      <c r="G310" s="125"/>
      <c r="H310" s="125"/>
      <c r="I310" s="125"/>
      <c r="J310" s="125"/>
      <c r="K310" s="125"/>
      <c r="L310" s="160"/>
    </row>
    <row r="311" spans="2:12" ht="18.75" x14ac:dyDescent="0.3">
      <c r="B311" s="160"/>
      <c r="C311" s="164"/>
      <c r="D311" s="164"/>
      <c r="E311" s="165"/>
      <c r="F311" s="166"/>
      <c r="G311" s="125"/>
      <c r="H311" s="125"/>
      <c r="I311" s="125"/>
      <c r="J311" s="125"/>
      <c r="K311" s="125"/>
      <c r="L311" s="160"/>
    </row>
    <row r="312" spans="2:12" ht="18.75" x14ac:dyDescent="0.3">
      <c r="B312" s="160"/>
      <c r="C312" s="164"/>
      <c r="D312" s="164"/>
      <c r="E312" s="165"/>
      <c r="F312" s="166"/>
      <c r="G312" s="125"/>
      <c r="H312" s="125"/>
      <c r="I312" s="125"/>
      <c r="J312" s="125"/>
      <c r="K312" s="125"/>
      <c r="L312" s="160"/>
    </row>
    <row r="313" spans="2:12" ht="18.75" x14ac:dyDescent="0.3">
      <c r="B313" s="125"/>
      <c r="C313" s="126"/>
      <c r="D313" s="126"/>
      <c r="E313" s="126"/>
      <c r="F313" s="126"/>
      <c r="G313" s="117"/>
      <c r="H313" s="117"/>
      <c r="I313" s="117"/>
      <c r="J313" s="117"/>
      <c r="K313" s="117"/>
      <c r="L313" s="125"/>
    </row>
    <row r="314" spans="2:12" ht="18.75" x14ac:dyDescent="0.3">
      <c r="B314" s="125"/>
      <c r="C314" s="126"/>
      <c r="D314" s="126"/>
      <c r="E314" s="126"/>
      <c r="F314" s="126"/>
      <c r="G314" s="117"/>
      <c r="H314" s="117"/>
      <c r="I314" s="117"/>
      <c r="J314" s="117"/>
      <c r="K314" s="117"/>
      <c r="L314" s="125"/>
    </row>
    <row r="315" spans="2:12" ht="18.75" x14ac:dyDescent="0.3">
      <c r="B315" s="133"/>
      <c r="C315" s="117"/>
      <c r="D315" s="117"/>
      <c r="E315" s="117"/>
      <c r="F315" s="117"/>
      <c r="G315" s="117"/>
      <c r="H315" s="117"/>
      <c r="I315" s="117"/>
      <c r="J315" s="117"/>
      <c r="K315" s="117"/>
      <c r="L315" s="133"/>
    </row>
    <row r="316" spans="2:12" ht="18.75" x14ac:dyDescent="0.25">
      <c r="B316" s="127"/>
      <c r="C316" s="128"/>
      <c r="D316" s="128"/>
      <c r="E316" s="128"/>
      <c r="F316" s="128"/>
      <c r="G316" s="128"/>
      <c r="H316" s="128"/>
      <c r="I316" s="128"/>
      <c r="J316" s="128"/>
      <c r="K316" s="128"/>
      <c r="L316" s="127"/>
    </row>
    <row r="317" spans="2:12" ht="18.75" x14ac:dyDescent="0.3">
      <c r="B317" s="122"/>
      <c r="C317" s="129"/>
      <c r="D317" s="117"/>
      <c r="E317" s="117"/>
      <c r="F317" s="129"/>
      <c r="G317" s="117"/>
      <c r="H317" s="117"/>
      <c r="I317" s="117"/>
      <c r="J317" s="117"/>
      <c r="K317" s="117"/>
      <c r="L317" s="122"/>
    </row>
    <row r="318" spans="2:12" ht="18.75" x14ac:dyDescent="0.3">
      <c r="B318" s="122"/>
      <c r="C318" s="129"/>
      <c r="D318" s="117"/>
      <c r="E318" s="117"/>
      <c r="F318" s="129"/>
      <c r="G318" s="117"/>
      <c r="H318" s="117"/>
      <c r="I318" s="117"/>
      <c r="J318" s="117"/>
      <c r="K318" s="117"/>
      <c r="L318" s="122"/>
    </row>
    <row r="319" spans="2:12" ht="18.75" x14ac:dyDescent="0.3">
      <c r="B319" s="122"/>
      <c r="C319" s="129"/>
      <c r="D319" s="129"/>
      <c r="E319" s="117"/>
      <c r="F319" s="117"/>
      <c r="G319" s="117"/>
      <c r="H319" s="117"/>
      <c r="I319" s="117"/>
      <c r="J319" s="117"/>
      <c r="K319" s="117"/>
      <c r="L319" s="122"/>
    </row>
    <row r="320" spans="2:12" ht="18.75" x14ac:dyDescent="0.3">
      <c r="B320" s="122"/>
      <c r="C320" s="129"/>
      <c r="D320" s="117"/>
      <c r="E320" s="117"/>
      <c r="F320" s="117"/>
      <c r="G320" s="117"/>
      <c r="H320" s="117"/>
      <c r="I320" s="117"/>
      <c r="J320" s="117"/>
      <c r="K320" s="117"/>
      <c r="L320" s="122"/>
    </row>
    <row r="321" spans="2:12" ht="18.75" x14ac:dyDescent="0.3">
      <c r="B321" s="122"/>
      <c r="C321" s="129"/>
      <c r="D321" s="117"/>
      <c r="E321" s="117"/>
      <c r="F321" s="117"/>
      <c r="G321" s="117"/>
      <c r="H321" s="117"/>
      <c r="I321" s="117"/>
      <c r="J321" s="117"/>
      <c r="K321" s="117"/>
      <c r="L321" s="122"/>
    </row>
    <row r="322" spans="2:12" ht="18.75" x14ac:dyDescent="0.3">
      <c r="B322" s="122"/>
      <c r="C322" s="129"/>
      <c r="D322" s="117"/>
      <c r="E322" s="117"/>
      <c r="F322" s="117"/>
      <c r="G322" s="117"/>
      <c r="H322" s="117"/>
      <c r="I322" s="117"/>
      <c r="J322" s="117"/>
      <c r="K322" s="117"/>
      <c r="L322" s="122"/>
    </row>
    <row r="323" spans="2:12" ht="18.75" x14ac:dyDescent="0.3">
      <c r="B323" s="122"/>
      <c r="C323" s="129"/>
      <c r="D323" s="117"/>
      <c r="E323" s="117"/>
      <c r="F323" s="117"/>
      <c r="G323" s="117"/>
      <c r="H323" s="117"/>
      <c r="I323" s="117"/>
      <c r="J323" s="117"/>
      <c r="K323" s="117"/>
      <c r="L323" s="122"/>
    </row>
    <row r="324" spans="2:12" ht="18.75" x14ac:dyDescent="0.3">
      <c r="B324" s="122"/>
      <c r="C324" s="129"/>
      <c r="D324" s="117"/>
      <c r="E324" s="117"/>
      <c r="F324" s="117"/>
      <c r="G324" s="117"/>
      <c r="H324" s="117"/>
      <c r="I324" s="117"/>
      <c r="J324" s="117"/>
      <c r="K324" s="117"/>
      <c r="L324" s="122"/>
    </row>
    <row r="325" spans="2:12" ht="18.75" x14ac:dyDescent="0.3">
      <c r="B325" s="122"/>
      <c r="C325" s="129"/>
      <c r="D325" s="117"/>
      <c r="E325" s="117"/>
      <c r="F325" s="117"/>
      <c r="G325" s="117"/>
      <c r="H325" s="117"/>
      <c r="I325" s="117"/>
      <c r="J325" s="117"/>
      <c r="K325" s="117"/>
      <c r="L325" s="122"/>
    </row>
    <row r="326" spans="2:12" ht="18.75" x14ac:dyDescent="0.3">
      <c r="B326" s="122"/>
      <c r="C326" s="129"/>
      <c r="D326" s="117"/>
      <c r="E326" s="117"/>
      <c r="F326" s="117"/>
      <c r="G326" s="117"/>
      <c r="H326" s="117"/>
      <c r="I326" s="117"/>
      <c r="J326" s="117"/>
      <c r="K326" s="117"/>
      <c r="L326" s="122"/>
    </row>
    <row r="327" spans="2:12" ht="18.75" x14ac:dyDescent="0.3">
      <c r="B327" s="122"/>
      <c r="C327" s="129"/>
      <c r="D327" s="117"/>
      <c r="E327" s="117"/>
      <c r="F327" s="117"/>
      <c r="G327" s="117"/>
      <c r="H327" s="117"/>
      <c r="I327" s="117"/>
      <c r="J327" s="117"/>
      <c r="K327" s="117"/>
      <c r="L327" s="122"/>
    </row>
    <row r="328" spans="2:12" ht="18.75" x14ac:dyDescent="0.3">
      <c r="B328" s="122"/>
      <c r="C328" s="129"/>
      <c r="D328" s="117"/>
      <c r="E328" s="117"/>
      <c r="F328" s="117"/>
      <c r="G328" s="117"/>
      <c r="H328" s="117"/>
      <c r="I328" s="117"/>
      <c r="J328" s="117"/>
      <c r="K328" s="117"/>
      <c r="L328" s="122"/>
    </row>
    <row r="329" spans="2:12" ht="18.75" x14ac:dyDescent="0.3">
      <c r="B329" s="125"/>
      <c r="C329" s="126"/>
      <c r="D329" s="126"/>
      <c r="E329" s="126"/>
      <c r="F329" s="126"/>
      <c r="G329" s="117"/>
      <c r="H329" s="117"/>
      <c r="I329" s="117"/>
      <c r="J329" s="117"/>
      <c r="K329" s="117"/>
      <c r="L329" s="125"/>
    </row>
    <row r="330" spans="2:12" ht="18.75" x14ac:dyDescent="0.3">
      <c r="B330" s="133"/>
      <c r="C330" s="117"/>
      <c r="D330" s="117"/>
      <c r="E330" s="117"/>
      <c r="F330" s="117"/>
      <c r="G330" s="117"/>
      <c r="H330" s="117"/>
      <c r="I330" s="117"/>
      <c r="J330" s="117"/>
      <c r="K330" s="117"/>
      <c r="L330" s="133"/>
    </row>
    <row r="331" spans="2:12" ht="18.75" x14ac:dyDescent="0.3">
      <c r="B331" s="141"/>
      <c r="C331" s="117"/>
      <c r="D331" s="117"/>
      <c r="E331" s="117"/>
      <c r="F331" s="117"/>
      <c r="G331" s="117"/>
      <c r="H331" s="117"/>
      <c r="I331" s="117"/>
      <c r="J331" s="117"/>
      <c r="K331" s="117"/>
      <c r="L331" s="141"/>
    </row>
    <row r="332" spans="2:12" ht="18.75" x14ac:dyDescent="0.3">
      <c r="B332" s="133"/>
      <c r="C332" s="117"/>
      <c r="D332" s="117"/>
      <c r="E332" s="117"/>
      <c r="F332" s="117"/>
      <c r="G332" s="117"/>
      <c r="H332" s="117"/>
      <c r="I332" s="117"/>
      <c r="J332" s="117"/>
      <c r="K332" s="117"/>
      <c r="L332" s="133"/>
    </row>
    <row r="333" spans="2:12" ht="18.75" x14ac:dyDescent="0.25">
      <c r="B333" s="127"/>
      <c r="C333" s="128"/>
      <c r="D333" s="128"/>
      <c r="E333" s="128"/>
      <c r="F333" s="128"/>
      <c r="G333" s="128"/>
      <c r="H333" s="128"/>
      <c r="I333" s="128"/>
      <c r="J333" s="128"/>
      <c r="K333" s="128"/>
      <c r="L333" s="127"/>
    </row>
    <row r="334" spans="2:12" ht="18.75" x14ac:dyDescent="0.3">
      <c r="B334" s="122"/>
      <c r="C334" s="123"/>
      <c r="D334" s="123"/>
      <c r="E334" s="123"/>
      <c r="F334" s="129"/>
      <c r="G334" s="117"/>
      <c r="H334" s="117"/>
      <c r="I334" s="117"/>
      <c r="J334" s="117"/>
      <c r="K334" s="117"/>
      <c r="L334" s="122"/>
    </row>
    <row r="335" spans="2:12" ht="18.75" x14ac:dyDescent="0.3">
      <c r="B335" s="122"/>
      <c r="C335" s="123"/>
      <c r="D335" s="123"/>
      <c r="E335" s="123"/>
      <c r="F335" s="129"/>
      <c r="G335" s="117"/>
      <c r="H335" s="117"/>
      <c r="I335" s="117"/>
      <c r="J335" s="117"/>
      <c r="K335" s="117"/>
      <c r="L335" s="122"/>
    </row>
    <row r="336" spans="2:12" ht="18.75" x14ac:dyDescent="0.3">
      <c r="B336" s="122"/>
      <c r="C336" s="123"/>
      <c r="D336" s="123"/>
      <c r="E336" s="123"/>
      <c r="F336" s="129"/>
      <c r="G336" s="117"/>
      <c r="H336" s="117"/>
      <c r="I336" s="117"/>
      <c r="J336" s="117"/>
      <c r="K336" s="117"/>
      <c r="L336" s="122"/>
    </row>
    <row r="337" spans="2:12" ht="18.75" x14ac:dyDescent="0.3">
      <c r="B337" s="122"/>
      <c r="C337" s="123"/>
      <c r="D337" s="123"/>
      <c r="E337" s="123"/>
      <c r="F337" s="117"/>
      <c r="G337" s="117"/>
      <c r="H337" s="117"/>
      <c r="I337" s="117"/>
      <c r="J337" s="117"/>
      <c r="K337" s="117"/>
      <c r="L337" s="122"/>
    </row>
    <row r="338" spans="2:12" ht="18.75" x14ac:dyDescent="0.3">
      <c r="B338" s="122"/>
      <c r="C338" s="123"/>
      <c r="D338" s="167"/>
      <c r="E338" s="117"/>
      <c r="F338" s="167"/>
      <c r="G338" s="117"/>
      <c r="H338" s="117"/>
      <c r="I338" s="117"/>
      <c r="J338" s="117"/>
      <c r="K338" s="117"/>
      <c r="L338" s="122"/>
    </row>
    <row r="339" spans="2:12" ht="18.75" x14ac:dyDescent="0.3">
      <c r="B339" s="122"/>
      <c r="C339" s="123"/>
      <c r="D339" s="167"/>
      <c r="E339" s="117"/>
      <c r="F339" s="167"/>
      <c r="G339" s="117"/>
      <c r="H339" s="117"/>
      <c r="I339" s="117"/>
      <c r="J339" s="117"/>
      <c r="K339" s="117"/>
      <c r="L339" s="122"/>
    </row>
    <row r="340" spans="2:12" ht="18.75" x14ac:dyDescent="0.3">
      <c r="B340" s="122"/>
      <c r="C340" s="123"/>
      <c r="D340" s="167"/>
      <c r="E340" s="117"/>
      <c r="F340" s="167"/>
      <c r="G340" s="117"/>
      <c r="H340" s="117"/>
      <c r="I340" s="117"/>
      <c r="J340" s="117"/>
      <c r="K340" s="117"/>
      <c r="L340" s="122"/>
    </row>
    <row r="341" spans="2:12" ht="18.75" x14ac:dyDescent="0.3">
      <c r="B341" s="122"/>
      <c r="C341" s="123"/>
      <c r="D341" s="167"/>
      <c r="E341" s="117"/>
      <c r="F341" s="167"/>
      <c r="G341" s="117"/>
      <c r="H341" s="117"/>
      <c r="I341" s="117"/>
      <c r="J341" s="117"/>
      <c r="K341" s="117"/>
      <c r="L341" s="122"/>
    </row>
    <row r="342" spans="2:12" ht="18.75" x14ac:dyDescent="0.3">
      <c r="B342" s="122"/>
      <c r="C342" s="123"/>
      <c r="D342" s="167"/>
      <c r="E342" s="117"/>
      <c r="F342" s="167"/>
      <c r="G342" s="117"/>
      <c r="H342" s="117"/>
      <c r="I342" s="117"/>
      <c r="J342" s="117"/>
      <c r="K342" s="117"/>
      <c r="L342" s="122"/>
    </row>
    <row r="343" spans="2:12" ht="18.75" x14ac:dyDescent="0.3">
      <c r="B343" s="122"/>
      <c r="C343" s="123"/>
      <c r="D343" s="123"/>
      <c r="E343" s="123"/>
      <c r="F343" s="167"/>
      <c r="G343" s="117"/>
      <c r="H343" s="117"/>
      <c r="I343" s="117"/>
      <c r="J343" s="117"/>
      <c r="K343" s="117"/>
      <c r="L343" s="122"/>
    </row>
    <row r="344" spans="2:12" ht="18.75" x14ac:dyDescent="0.3">
      <c r="B344" s="122"/>
      <c r="C344" s="123"/>
      <c r="D344" s="123"/>
      <c r="E344" s="123"/>
      <c r="F344" s="167"/>
      <c r="G344" s="117"/>
      <c r="H344" s="117"/>
      <c r="I344" s="117"/>
      <c r="J344" s="117"/>
      <c r="K344" s="117"/>
      <c r="L344" s="122"/>
    </row>
    <row r="345" spans="2:12" ht="18.75" x14ac:dyDescent="0.3">
      <c r="B345" s="122"/>
      <c r="C345" s="123"/>
      <c r="D345" s="167"/>
      <c r="E345" s="117"/>
      <c r="F345" s="167"/>
      <c r="G345" s="117"/>
      <c r="H345" s="117"/>
      <c r="I345" s="117"/>
      <c r="J345" s="117"/>
      <c r="K345" s="117"/>
      <c r="L345" s="122"/>
    </row>
    <row r="346" spans="2:12" ht="18.75" x14ac:dyDescent="0.3">
      <c r="B346" s="125"/>
      <c r="C346" s="126"/>
      <c r="D346" s="126"/>
      <c r="E346" s="126"/>
      <c r="F346" s="126"/>
      <c r="G346" s="117"/>
      <c r="H346" s="117"/>
      <c r="I346" s="117"/>
      <c r="J346" s="117"/>
      <c r="K346" s="117"/>
      <c r="L346" s="125"/>
    </row>
    <row r="347" spans="2:12" ht="18.75" x14ac:dyDescent="0.3">
      <c r="B347" s="133"/>
      <c r="C347" s="117"/>
      <c r="D347" s="117"/>
      <c r="E347" s="117"/>
      <c r="F347" s="117"/>
      <c r="G347" s="117"/>
      <c r="H347" s="117"/>
      <c r="I347" s="117"/>
      <c r="J347" s="117"/>
      <c r="K347" s="117"/>
      <c r="L347" s="133"/>
    </row>
    <row r="348" spans="2:12" ht="18.75" x14ac:dyDescent="0.25">
      <c r="B348" s="127"/>
      <c r="C348" s="128"/>
      <c r="D348" s="128"/>
      <c r="E348" s="128"/>
      <c r="F348" s="128"/>
      <c r="G348" s="128"/>
      <c r="H348" s="128"/>
      <c r="I348" s="128"/>
      <c r="J348" s="128"/>
      <c r="K348" s="128"/>
      <c r="L348" s="127"/>
    </row>
    <row r="349" spans="2:12" ht="18.75" x14ac:dyDescent="0.3">
      <c r="B349" s="122"/>
      <c r="C349" s="129"/>
      <c r="D349" s="129"/>
      <c r="E349" s="129"/>
      <c r="F349" s="129"/>
      <c r="G349" s="117"/>
      <c r="H349" s="117"/>
      <c r="I349" s="117"/>
      <c r="J349" s="117"/>
      <c r="K349" s="117"/>
      <c r="L349" s="122"/>
    </row>
    <row r="350" spans="2:12" ht="18.75" x14ac:dyDescent="0.3">
      <c r="B350" s="122"/>
      <c r="C350" s="168"/>
      <c r="D350" s="168"/>
      <c r="E350" s="168"/>
      <c r="F350" s="129"/>
      <c r="G350" s="117"/>
      <c r="H350" s="117"/>
      <c r="I350" s="117"/>
      <c r="J350" s="117"/>
      <c r="K350" s="117"/>
      <c r="L350" s="122"/>
    </row>
    <row r="351" spans="2:12" ht="18.75" x14ac:dyDescent="0.3">
      <c r="B351" s="122"/>
      <c r="C351" s="168"/>
      <c r="D351" s="168"/>
      <c r="E351" s="168"/>
      <c r="F351" s="129"/>
      <c r="G351" s="117"/>
      <c r="H351" s="117"/>
      <c r="I351" s="117"/>
      <c r="J351" s="117"/>
      <c r="K351" s="117"/>
      <c r="L351" s="122"/>
    </row>
    <row r="352" spans="2:12" ht="18.75" x14ac:dyDescent="0.3">
      <c r="B352" s="122"/>
      <c r="C352" s="169"/>
      <c r="D352" s="169"/>
      <c r="E352" s="123"/>
      <c r="F352" s="169"/>
      <c r="G352" s="117"/>
      <c r="H352" s="117"/>
      <c r="I352" s="117"/>
      <c r="J352" s="117"/>
      <c r="K352" s="117"/>
      <c r="L352" s="122"/>
    </row>
    <row r="353" spans="2:12" ht="18.75" x14ac:dyDescent="0.3">
      <c r="B353" s="122"/>
      <c r="C353" s="169"/>
      <c r="D353" s="169"/>
      <c r="E353" s="123"/>
      <c r="F353" s="169"/>
      <c r="G353" s="117"/>
      <c r="H353" s="117"/>
      <c r="I353" s="117"/>
      <c r="J353" s="117"/>
      <c r="K353" s="117"/>
      <c r="L353" s="122"/>
    </row>
    <row r="354" spans="2:12" ht="18.75" x14ac:dyDescent="0.3">
      <c r="B354" s="122"/>
      <c r="C354" s="123"/>
      <c r="D354" s="123"/>
      <c r="E354" s="123"/>
      <c r="F354" s="123"/>
      <c r="G354" s="117"/>
      <c r="H354" s="117"/>
      <c r="I354" s="117"/>
      <c r="J354" s="117"/>
      <c r="K354" s="117"/>
      <c r="L354" s="122"/>
    </row>
    <row r="355" spans="2:12" ht="18.75" x14ac:dyDescent="0.3">
      <c r="B355" s="122"/>
      <c r="C355" s="123"/>
      <c r="D355" s="123"/>
      <c r="E355" s="123"/>
      <c r="F355" s="123"/>
      <c r="G355" s="117"/>
      <c r="H355" s="117"/>
      <c r="I355" s="117"/>
      <c r="J355" s="117"/>
      <c r="K355" s="117"/>
      <c r="L355" s="122"/>
    </row>
    <row r="356" spans="2:12" ht="18.75" x14ac:dyDescent="0.3">
      <c r="B356" s="122"/>
      <c r="C356" s="123"/>
      <c r="D356" s="123"/>
      <c r="E356" s="123"/>
      <c r="F356" s="123"/>
      <c r="G356" s="117"/>
      <c r="H356" s="117"/>
      <c r="I356" s="117"/>
      <c r="J356" s="117"/>
      <c r="K356" s="117"/>
      <c r="L356" s="122"/>
    </row>
    <row r="357" spans="2:12" ht="18.75" x14ac:dyDescent="0.3">
      <c r="B357" s="122"/>
      <c r="C357" s="123"/>
      <c r="D357" s="123"/>
      <c r="E357" s="123"/>
      <c r="F357" s="123"/>
      <c r="G357" s="117"/>
      <c r="H357" s="117"/>
      <c r="I357" s="117"/>
      <c r="J357" s="117"/>
      <c r="K357" s="117"/>
      <c r="L357" s="122"/>
    </row>
    <row r="358" spans="2:12" ht="18.75" x14ac:dyDescent="0.3">
      <c r="B358" s="122"/>
      <c r="C358" s="123"/>
      <c r="D358" s="123"/>
      <c r="E358" s="123"/>
      <c r="F358" s="123"/>
      <c r="G358" s="117"/>
      <c r="H358" s="117"/>
      <c r="I358" s="117"/>
      <c r="J358" s="117"/>
      <c r="K358" s="117"/>
      <c r="L358" s="122"/>
    </row>
    <row r="359" spans="2:12" ht="18.75" x14ac:dyDescent="0.3">
      <c r="B359" s="122"/>
      <c r="C359" s="123"/>
      <c r="D359" s="123"/>
      <c r="E359" s="123"/>
      <c r="F359" s="123"/>
      <c r="G359" s="117"/>
      <c r="H359" s="117"/>
      <c r="I359" s="117"/>
      <c r="J359" s="117"/>
      <c r="K359" s="117"/>
      <c r="L359" s="122"/>
    </row>
    <row r="360" spans="2:12" ht="18.75" x14ac:dyDescent="0.3">
      <c r="B360" s="122"/>
      <c r="C360" s="123"/>
      <c r="D360" s="123"/>
      <c r="E360" s="123"/>
      <c r="F360" s="123"/>
      <c r="G360" s="117"/>
      <c r="H360" s="117"/>
      <c r="I360" s="117"/>
      <c r="J360" s="117"/>
      <c r="K360" s="117"/>
      <c r="L360" s="122"/>
    </row>
    <row r="361" spans="2:12" ht="18.75" x14ac:dyDescent="0.3">
      <c r="B361" s="125"/>
      <c r="C361" s="126"/>
      <c r="D361" s="126"/>
      <c r="E361" s="126"/>
      <c r="F361" s="126"/>
      <c r="G361" s="117"/>
      <c r="H361" s="117"/>
      <c r="I361" s="117"/>
      <c r="J361" s="117"/>
      <c r="K361" s="117"/>
      <c r="L361" s="125"/>
    </row>
    <row r="362" spans="2:12" ht="18.75" x14ac:dyDescent="0.3">
      <c r="B362" s="133"/>
      <c r="C362" s="117"/>
      <c r="D362" s="117"/>
      <c r="E362" s="117"/>
      <c r="F362" s="117"/>
      <c r="G362" s="117"/>
      <c r="H362" s="117"/>
      <c r="I362" s="117"/>
      <c r="J362" s="117"/>
      <c r="K362" s="117"/>
      <c r="L362" s="133"/>
    </row>
    <row r="363" spans="2:12" ht="18.75" x14ac:dyDescent="0.25">
      <c r="B363" s="127"/>
      <c r="C363" s="128"/>
      <c r="D363" s="128"/>
      <c r="E363" s="128"/>
      <c r="F363" s="128"/>
      <c r="G363" s="128"/>
      <c r="H363" s="128"/>
      <c r="I363" s="128"/>
      <c r="J363" s="128"/>
      <c r="K363" s="128"/>
      <c r="L363" s="127"/>
    </row>
    <row r="364" spans="2:12" ht="18.75" x14ac:dyDescent="0.3">
      <c r="B364" s="122"/>
      <c r="C364" s="170"/>
      <c r="D364" s="170"/>
      <c r="E364" s="130"/>
      <c r="F364" s="170"/>
      <c r="G364" s="117"/>
      <c r="H364" s="117"/>
      <c r="I364" s="117"/>
      <c r="J364" s="117"/>
      <c r="K364" s="117"/>
      <c r="L364" s="122"/>
    </row>
    <row r="365" spans="2:12" ht="18.75" x14ac:dyDescent="0.3">
      <c r="B365" s="122"/>
      <c r="C365" s="170"/>
      <c r="D365" s="170"/>
      <c r="E365" s="130"/>
      <c r="F365" s="170"/>
      <c r="G365" s="117"/>
      <c r="H365" s="117"/>
      <c r="I365" s="117"/>
      <c r="J365" s="117"/>
      <c r="K365" s="117"/>
      <c r="L365" s="122"/>
    </row>
    <row r="366" spans="2:12" ht="18.75" x14ac:dyDescent="0.3">
      <c r="B366" s="122"/>
      <c r="C366" s="170"/>
      <c r="D366" s="170"/>
      <c r="E366" s="130"/>
      <c r="F366" s="170"/>
      <c r="G366" s="117"/>
      <c r="H366" s="117"/>
      <c r="I366" s="117"/>
      <c r="J366" s="117"/>
      <c r="K366" s="117"/>
      <c r="L366" s="122"/>
    </row>
    <row r="367" spans="2:12" ht="18.75" x14ac:dyDescent="0.3">
      <c r="B367" s="122"/>
      <c r="C367" s="170"/>
      <c r="D367" s="170"/>
      <c r="E367" s="130"/>
      <c r="F367" s="170"/>
      <c r="G367" s="117"/>
      <c r="H367" s="117"/>
      <c r="I367" s="117"/>
      <c r="J367" s="117"/>
      <c r="K367" s="117"/>
      <c r="L367" s="122"/>
    </row>
    <row r="368" spans="2:12" ht="18.75" x14ac:dyDescent="0.3">
      <c r="B368" s="122"/>
      <c r="C368" s="170"/>
      <c r="D368" s="170"/>
      <c r="E368" s="130"/>
      <c r="F368" s="170"/>
      <c r="G368" s="117"/>
      <c r="H368" s="117"/>
      <c r="I368" s="117"/>
      <c r="J368" s="117"/>
      <c r="K368" s="117"/>
      <c r="L368" s="122"/>
    </row>
    <row r="369" spans="2:12" ht="18.75" x14ac:dyDescent="0.3">
      <c r="B369" s="122"/>
      <c r="C369" s="170"/>
      <c r="D369" s="170"/>
      <c r="E369" s="130"/>
      <c r="F369" s="170"/>
      <c r="G369" s="117"/>
      <c r="H369" s="117"/>
      <c r="I369" s="117"/>
      <c r="J369" s="117"/>
      <c r="K369" s="117"/>
      <c r="L369" s="122"/>
    </row>
    <row r="370" spans="2:12" ht="18.75" x14ac:dyDescent="0.3">
      <c r="B370" s="122"/>
      <c r="C370" s="170"/>
      <c r="D370" s="170"/>
      <c r="E370" s="130"/>
      <c r="F370" s="170"/>
      <c r="G370" s="117"/>
      <c r="H370" s="117"/>
      <c r="I370" s="117"/>
      <c r="J370" s="117"/>
      <c r="K370" s="117"/>
      <c r="L370" s="122"/>
    </row>
    <row r="371" spans="2:12" ht="18.75" x14ac:dyDescent="0.3">
      <c r="B371" s="122"/>
      <c r="C371" s="170"/>
      <c r="D371" s="170"/>
      <c r="E371" s="130"/>
      <c r="F371" s="170"/>
      <c r="G371" s="117"/>
      <c r="H371" s="117"/>
      <c r="I371" s="117"/>
      <c r="J371" s="117"/>
      <c r="K371" s="117"/>
      <c r="L371" s="122"/>
    </row>
    <row r="372" spans="2:12" ht="18.75" x14ac:dyDescent="0.3">
      <c r="B372" s="122"/>
      <c r="C372" s="170"/>
      <c r="D372" s="170"/>
      <c r="E372" s="130"/>
      <c r="F372" s="170"/>
      <c r="G372" s="117"/>
      <c r="H372" s="117"/>
      <c r="I372" s="117"/>
      <c r="J372" s="117"/>
      <c r="K372" s="117"/>
      <c r="L372" s="122"/>
    </row>
    <row r="373" spans="2:12" ht="18.75" x14ac:dyDescent="0.3">
      <c r="B373" s="122"/>
      <c r="C373" s="170"/>
      <c r="D373" s="170"/>
      <c r="E373" s="130"/>
      <c r="F373" s="170"/>
      <c r="G373" s="117"/>
      <c r="H373" s="117"/>
      <c r="I373" s="117"/>
      <c r="J373" s="117"/>
      <c r="K373" s="117"/>
      <c r="L373" s="122"/>
    </row>
    <row r="374" spans="2:12" ht="18.75" x14ac:dyDescent="0.3">
      <c r="B374" s="122"/>
      <c r="C374" s="170"/>
      <c r="D374" s="170"/>
      <c r="E374" s="130"/>
      <c r="F374" s="170"/>
      <c r="G374" s="117"/>
      <c r="H374" s="117"/>
      <c r="I374" s="117"/>
      <c r="J374" s="117"/>
      <c r="K374" s="117"/>
      <c r="L374" s="122"/>
    </row>
    <row r="375" spans="2:12" ht="18.75" x14ac:dyDescent="0.3">
      <c r="B375" s="122"/>
      <c r="C375" s="170"/>
      <c r="D375" s="170"/>
      <c r="E375" s="130"/>
      <c r="F375" s="170"/>
      <c r="G375" s="117"/>
      <c r="H375" s="117"/>
      <c r="I375" s="117"/>
      <c r="J375" s="117"/>
      <c r="K375" s="117"/>
      <c r="L375" s="122"/>
    </row>
    <row r="376" spans="2:12" ht="18.75" x14ac:dyDescent="0.3">
      <c r="B376" s="125"/>
      <c r="C376" s="126"/>
      <c r="D376" s="126"/>
      <c r="E376" s="126"/>
      <c r="F376" s="126"/>
      <c r="G376" s="117"/>
      <c r="H376" s="117"/>
      <c r="I376" s="117"/>
      <c r="J376" s="117"/>
      <c r="K376" s="117"/>
      <c r="L376" s="125"/>
    </row>
    <row r="377" spans="2:12" ht="18.75" x14ac:dyDescent="0.3">
      <c r="B377" s="133"/>
      <c r="C377" s="117"/>
      <c r="D377" s="117"/>
      <c r="E377" s="117"/>
      <c r="F377" s="117"/>
      <c r="G377" s="117"/>
      <c r="H377" s="117"/>
      <c r="I377" s="117"/>
      <c r="J377" s="117"/>
      <c r="K377" s="117"/>
      <c r="L377" s="133"/>
    </row>
    <row r="378" spans="2:12" ht="18.75" x14ac:dyDescent="0.25">
      <c r="B378" s="127"/>
      <c r="C378" s="128"/>
      <c r="D378" s="128"/>
      <c r="E378" s="128"/>
      <c r="F378" s="128"/>
      <c r="G378" s="128"/>
      <c r="H378" s="128"/>
      <c r="I378" s="128"/>
      <c r="J378" s="128"/>
      <c r="K378" s="128"/>
      <c r="L378" s="127"/>
    </row>
    <row r="379" spans="2:12" ht="18.75" x14ac:dyDescent="0.3">
      <c r="B379" s="122"/>
      <c r="C379" s="123"/>
      <c r="D379" s="123"/>
      <c r="E379" s="117"/>
      <c r="F379" s="123"/>
      <c r="G379" s="117"/>
      <c r="H379" s="117"/>
      <c r="I379" s="117"/>
      <c r="J379" s="117"/>
      <c r="K379" s="117"/>
      <c r="L379" s="122"/>
    </row>
    <row r="380" spans="2:12" ht="18.75" x14ac:dyDescent="0.3">
      <c r="B380" s="122"/>
      <c r="C380" s="123"/>
      <c r="D380" s="123"/>
      <c r="E380" s="117"/>
      <c r="F380" s="123"/>
      <c r="G380" s="117"/>
      <c r="H380" s="117"/>
      <c r="I380" s="117"/>
      <c r="J380" s="117"/>
      <c r="K380" s="117"/>
      <c r="L380" s="122"/>
    </row>
    <row r="381" spans="2:12" ht="18.75" x14ac:dyDescent="0.3">
      <c r="B381" s="122"/>
      <c r="C381" s="123"/>
      <c r="D381" s="123"/>
      <c r="E381" s="117"/>
      <c r="F381" s="123"/>
      <c r="G381" s="117"/>
      <c r="H381" s="117"/>
      <c r="I381" s="117"/>
      <c r="J381" s="117"/>
      <c r="K381" s="117"/>
      <c r="L381" s="122"/>
    </row>
    <row r="382" spans="2:12" ht="18.75" x14ac:dyDescent="0.3">
      <c r="B382" s="122"/>
      <c r="C382" s="123"/>
      <c r="D382" s="123"/>
      <c r="E382" s="117"/>
      <c r="F382" s="123"/>
      <c r="G382" s="117"/>
      <c r="H382" s="117"/>
      <c r="I382" s="117"/>
      <c r="J382" s="117"/>
      <c r="K382" s="117"/>
      <c r="L382" s="122"/>
    </row>
    <row r="383" spans="2:12" ht="18.75" x14ac:dyDescent="0.3">
      <c r="B383" s="122"/>
      <c r="C383" s="123"/>
      <c r="D383" s="123"/>
      <c r="E383" s="117"/>
      <c r="F383" s="123"/>
      <c r="G383" s="117"/>
      <c r="H383" s="117"/>
      <c r="I383" s="117"/>
      <c r="J383" s="117"/>
      <c r="K383" s="117"/>
      <c r="L383" s="122"/>
    </row>
    <row r="384" spans="2:12" ht="18.75" x14ac:dyDescent="0.3">
      <c r="B384" s="122"/>
      <c r="C384" s="123"/>
      <c r="D384" s="123"/>
      <c r="E384" s="117"/>
      <c r="F384" s="123"/>
      <c r="G384" s="117"/>
      <c r="H384" s="117"/>
      <c r="I384" s="117"/>
      <c r="J384" s="117"/>
      <c r="K384" s="117"/>
      <c r="L384" s="122"/>
    </row>
    <row r="385" spans="2:12" ht="18.75" x14ac:dyDescent="0.3">
      <c r="B385" s="122"/>
      <c r="C385" s="123"/>
      <c r="D385" s="123"/>
      <c r="E385" s="117"/>
      <c r="F385" s="123"/>
      <c r="G385" s="117"/>
      <c r="H385" s="117"/>
      <c r="I385" s="117"/>
      <c r="J385" s="117"/>
      <c r="K385" s="117"/>
      <c r="L385" s="122"/>
    </row>
    <row r="386" spans="2:12" ht="18.75" x14ac:dyDescent="0.3">
      <c r="B386" s="122"/>
      <c r="C386" s="123"/>
      <c r="D386" s="123"/>
      <c r="E386" s="117"/>
      <c r="F386" s="123"/>
      <c r="G386" s="117"/>
      <c r="H386" s="117"/>
      <c r="I386" s="117"/>
      <c r="J386" s="117"/>
      <c r="K386" s="117"/>
      <c r="L386" s="122"/>
    </row>
    <row r="387" spans="2:12" ht="18.75" x14ac:dyDescent="0.3">
      <c r="B387" s="122"/>
      <c r="C387" s="123"/>
      <c r="D387" s="123"/>
      <c r="E387" s="117"/>
      <c r="F387" s="123"/>
      <c r="G387" s="117"/>
      <c r="H387" s="117"/>
      <c r="I387" s="117"/>
      <c r="J387" s="117"/>
      <c r="K387" s="117"/>
      <c r="L387" s="122"/>
    </row>
    <row r="388" spans="2:12" ht="18.75" x14ac:dyDescent="0.3">
      <c r="B388" s="122"/>
      <c r="C388" s="123"/>
      <c r="D388" s="123"/>
      <c r="E388" s="117"/>
      <c r="F388" s="123"/>
      <c r="G388" s="117"/>
      <c r="H388" s="117"/>
      <c r="I388" s="117"/>
      <c r="J388" s="117"/>
      <c r="K388" s="117"/>
      <c r="L388" s="122"/>
    </row>
    <row r="389" spans="2:12" ht="18.75" x14ac:dyDescent="0.3">
      <c r="B389" s="122"/>
      <c r="C389" s="123"/>
      <c r="D389" s="123"/>
      <c r="E389" s="117"/>
      <c r="F389" s="123"/>
      <c r="G389" s="117"/>
      <c r="H389" s="117"/>
      <c r="I389" s="117"/>
      <c r="J389" s="117"/>
      <c r="K389" s="117"/>
      <c r="L389" s="122"/>
    </row>
    <row r="390" spans="2:12" ht="18.75" x14ac:dyDescent="0.3">
      <c r="B390" s="122"/>
      <c r="C390" s="123"/>
      <c r="D390" s="123"/>
      <c r="E390" s="117"/>
      <c r="F390" s="123"/>
      <c r="G390" s="117"/>
      <c r="H390" s="117"/>
      <c r="I390" s="117"/>
      <c r="J390" s="117"/>
      <c r="K390" s="117"/>
      <c r="L390" s="122"/>
    </row>
    <row r="391" spans="2:12" ht="18.75" x14ac:dyDescent="0.3">
      <c r="B391" s="125"/>
      <c r="C391" s="126"/>
      <c r="D391" s="126"/>
      <c r="E391" s="126"/>
      <c r="F391" s="126"/>
      <c r="G391" s="117"/>
      <c r="H391" s="117"/>
      <c r="I391" s="117"/>
      <c r="J391" s="117"/>
      <c r="K391" s="117"/>
      <c r="L391" s="125"/>
    </row>
    <row r="392" spans="2:12" ht="18.75" x14ac:dyDescent="0.3">
      <c r="B392" s="133"/>
      <c r="C392" s="117"/>
      <c r="D392" s="117"/>
      <c r="E392" s="117"/>
      <c r="F392" s="117"/>
      <c r="G392" s="117"/>
      <c r="H392" s="117"/>
      <c r="I392" s="117"/>
      <c r="J392" s="117"/>
      <c r="K392" s="117"/>
      <c r="L392" s="133"/>
    </row>
    <row r="393" spans="2:12" ht="18.75" x14ac:dyDescent="0.25">
      <c r="B393" s="127"/>
      <c r="C393" s="128"/>
      <c r="D393" s="128"/>
      <c r="E393" s="128"/>
      <c r="F393" s="128"/>
      <c r="G393" s="128"/>
      <c r="H393" s="128"/>
      <c r="I393" s="128"/>
      <c r="J393" s="128"/>
      <c r="K393" s="128"/>
      <c r="L393" s="127"/>
    </row>
    <row r="394" spans="2:12" ht="18.75" x14ac:dyDescent="0.3">
      <c r="B394" s="160"/>
      <c r="C394" s="123"/>
      <c r="D394" s="123"/>
      <c r="E394" s="123"/>
      <c r="F394" s="164"/>
      <c r="G394" s="165"/>
      <c r="H394" s="165"/>
      <c r="I394" s="165"/>
      <c r="J394" s="165"/>
      <c r="K394" s="165"/>
      <c r="L394" s="160"/>
    </row>
    <row r="395" spans="2:12" ht="18.75" x14ac:dyDescent="0.3">
      <c r="B395" s="160"/>
      <c r="C395" s="123"/>
      <c r="D395" s="123"/>
      <c r="E395" s="123"/>
      <c r="F395" s="164"/>
      <c r="G395" s="165"/>
      <c r="H395" s="165"/>
      <c r="I395" s="165"/>
      <c r="J395" s="165"/>
      <c r="K395" s="165"/>
      <c r="L395" s="160"/>
    </row>
    <row r="396" spans="2:12" ht="18.75" x14ac:dyDescent="0.3">
      <c r="B396" s="160"/>
      <c r="C396" s="123"/>
      <c r="D396" s="123"/>
      <c r="E396" s="123"/>
      <c r="F396" s="164"/>
      <c r="G396" s="165"/>
      <c r="H396" s="165"/>
      <c r="I396" s="165"/>
      <c r="J396" s="165"/>
      <c r="K396" s="165"/>
      <c r="L396" s="160"/>
    </row>
    <row r="397" spans="2:12" ht="18.75" x14ac:dyDescent="0.3">
      <c r="B397" s="160"/>
      <c r="C397" s="123"/>
      <c r="D397" s="123"/>
      <c r="E397" s="117"/>
      <c r="F397" s="164"/>
      <c r="G397" s="165"/>
      <c r="H397" s="165"/>
      <c r="I397" s="165"/>
      <c r="J397" s="165"/>
      <c r="K397" s="165"/>
      <c r="L397" s="160"/>
    </row>
    <row r="398" spans="2:12" ht="18.75" x14ac:dyDescent="0.25">
      <c r="B398" s="160"/>
      <c r="C398" s="164"/>
      <c r="D398" s="164"/>
      <c r="E398" s="164"/>
      <c r="F398" s="164"/>
      <c r="G398" s="165"/>
      <c r="H398" s="165"/>
      <c r="I398" s="165"/>
      <c r="J398" s="165"/>
      <c r="K398" s="165"/>
      <c r="L398" s="160"/>
    </row>
    <row r="399" spans="2:12" ht="18.75" x14ac:dyDescent="0.25">
      <c r="B399" s="160"/>
      <c r="C399" s="164"/>
      <c r="D399" s="164"/>
      <c r="E399" s="164"/>
      <c r="F399" s="164"/>
      <c r="G399" s="165"/>
      <c r="H399" s="165"/>
      <c r="I399" s="165"/>
      <c r="J399" s="165"/>
      <c r="K399" s="165"/>
      <c r="L399" s="160"/>
    </row>
    <row r="400" spans="2:12" ht="18.75" x14ac:dyDescent="0.25">
      <c r="B400" s="160"/>
      <c r="C400" s="164"/>
      <c r="D400" s="164"/>
      <c r="E400" s="164"/>
      <c r="F400" s="164"/>
      <c r="G400" s="165"/>
      <c r="H400" s="165"/>
      <c r="I400" s="165"/>
      <c r="J400" s="165"/>
      <c r="K400" s="165"/>
      <c r="L400" s="160"/>
    </row>
    <row r="401" spans="2:12" ht="18.75" x14ac:dyDescent="0.25">
      <c r="B401" s="160"/>
      <c r="C401" s="164"/>
      <c r="D401" s="164"/>
      <c r="E401" s="164"/>
      <c r="F401" s="164"/>
      <c r="G401" s="165"/>
      <c r="H401" s="165"/>
      <c r="I401" s="165"/>
      <c r="J401" s="165"/>
      <c r="K401" s="165"/>
      <c r="L401" s="160"/>
    </row>
    <row r="402" spans="2:12" ht="18.75" x14ac:dyDescent="0.25">
      <c r="B402" s="160"/>
      <c r="C402" s="164"/>
      <c r="D402" s="164"/>
      <c r="E402" s="164"/>
      <c r="F402" s="164"/>
      <c r="G402" s="165"/>
      <c r="H402" s="165"/>
      <c r="I402" s="165"/>
      <c r="J402" s="165"/>
      <c r="K402" s="165"/>
      <c r="L402" s="160"/>
    </row>
    <row r="403" spans="2:12" ht="18.75" x14ac:dyDescent="0.25">
      <c r="B403" s="160"/>
      <c r="C403" s="164"/>
      <c r="D403" s="164"/>
      <c r="E403" s="164"/>
      <c r="F403" s="164"/>
      <c r="G403" s="165"/>
      <c r="H403" s="165"/>
      <c r="I403" s="165"/>
      <c r="J403" s="165"/>
      <c r="K403" s="165"/>
      <c r="L403" s="160"/>
    </row>
    <row r="404" spans="2:12" ht="18.75" x14ac:dyDescent="0.25">
      <c r="B404" s="160"/>
      <c r="C404" s="164"/>
      <c r="D404" s="164"/>
      <c r="E404" s="164"/>
      <c r="F404" s="164"/>
      <c r="G404" s="165"/>
      <c r="H404" s="165"/>
      <c r="I404" s="165"/>
      <c r="J404" s="165"/>
      <c r="K404" s="165"/>
      <c r="L404" s="160"/>
    </row>
    <row r="405" spans="2:12" ht="18.75" x14ac:dyDescent="0.25">
      <c r="B405" s="160"/>
      <c r="C405" s="164"/>
      <c r="D405" s="164"/>
      <c r="E405" s="164"/>
      <c r="F405" s="164"/>
      <c r="G405" s="165"/>
      <c r="H405" s="165"/>
      <c r="I405" s="165"/>
      <c r="J405" s="165"/>
      <c r="K405" s="165"/>
      <c r="L405" s="160"/>
    </row>
    <row r="406" spans="2:12" ht="18.75" x14ac:dyDescent="0.3">
      <c r="B406" s="125"/>
      <c r="C406" s="126"/>
      <c r="D406" s="126"/>
      <c r="E406" s="126"/>
      <c r="F406" s="126"/>
      <c r="G406" s="117"/>
      <c r="H406" s="117"/>
      <c r="I406" s="117"/>
      <c r="J406" s="117"/>
      <c r="K406" s="117"/>
      <c r="L406" s="125"/>
    </row>
    <row r="407" spans="2:12" ht="18.75" x14ac:dyDescent="0.3">
      <c r="B407" s="133"/>
      <c r="C407" s="117"/>
      <c r="D407" s="117"/>
      <c r="E407" s="117"/>
      <c r="F407" s="117"/>
      <c r="G407" s="117"/>
      <c r="H407" s="117"/>
      <c r="I407" s="117"/>
      <c r="J407" s="117"/>
      <c r="K407" s="117"/>
      <c r="L407" s="133"/>
    </row>
    <row r="408" spans="2:12" ht="18.75" x14ac:dyDescent="0.3">
      <c r="B408" s="141"/>
      <c r="C408" s="117"/>
      <c r="D408" s="117"/>
      <c r="E408" s="117"/>
      <c r="F408" s="117"/>
      <c r="G408" s="117"/>
      <c r="H408" s="117"/>
      <c r="I408" s="117"/>
      <c r="J408" s="117"/>
      <c r="K408" s="117"/>
      <c r="L408" s="141"/>
    </row>
    <row r="409" spans="2:12" ht="18.75" x14ac:dyDescent="0.3">
      <c r="B409" s="133"/>
      <c r="C409" s="117"/>
      <c r="D409" s="117"/>
      <c r="E409" s="117"/>
      <c r="F409" s="117"/>
      <c r="G409" s="117"/>
      <c r="H409" s="117"/>
      <c r="I409" s="117"/>
      <c r="J409" s="117"/>
      <c r="K409" s="117"/>
      <c r="L409" s="133"/>
    </row>
    <row r="410" spans="2:12" ht="18.75" x14ac:dyDescent="0.25">
      <c r="B410" s="127"/>
      <c r="C410" s="128"/>
      <c r="D410" s="128"/>
      <c r="E410" s="128"/>
      <c r="F410" s="128"/>
      <c r="G410" s="128"/>
      <c r="H410" s="128"/>
      <c r="I410" s="128"/>
      <c r="J410" s="128"/>
      <c r="K410" s="128"/>
      <c r="L410" s="127"/>
    </row>
    <row r="411" spans="2:12" ht="18.75" x14ac:dyDescent="0.3">
      <c r="B411" s="122"/>
      <c r="C411" s="123"/>
      <c r="D411" s="123"/>
      <c r="E411" s="123"/>
      <c r="F411" s="130"/>
      <c r="G411" s="140"/>
      <c r="H411" s="140"/>
      <c r="I411" s="140"/>
      <c r="J411" s="140"/>
      <c r="K411" s="140"/>
      <c r="L411" s="122"/>
    </row>
    <row r="412" spans="2:12" ht="18.75" x14ac:dyDescent="0.3">
      <c r="B412" s="122"/>
      <c r="C412" s="123"/>
      <c r="D412" s="123"/>
      <c r="E412" s="123"/>
      <c r="F412" s="130"/>
      <c r="G412" s="140"/>
      <c r="H412" s="140"/>
      <c r="I412" s="140"/>
      <c r="J412" s="140"/>
      <c r="K412" s="140"/>
      <c r="L412" s="122"/>
    </row>
    <row r="413" spans="2:12" ht="18.75" x14ac:dyDescent="0.3">
      <c r="B413" s="122"/>
      <c r="C413" s="123"/>
      <c r="D413" s="123"/>
      <c r="E413" s="123"/>
      <c r="F413" s="130"/>
      <c r="G413" s="140"/>
      <c r="H413" s="140"/>
      <c r="I413" s="140"/>
      <c r="J413" s="140"/>
      <c r="K413" s="140"/>
      <c r="L413" s="122"/>
    </row>
    <row r="414" spans="2:12" ht="18.75" x14ac:dyDescent="0.3">
      <c r="B414" s="122"/>
      <c r="C414" s="123"/>
      <c r="D414" s="123"/>
      <c r="E414" s="123"/>
      <c r="F414" s="130"/>
      <c r="G414" s="140"/>
      <c r="H414" s="140"/>
      <c r="I414" s="140"/>
      <c r="J414" s="140"/>
      <c r="K414" s="140"/>
      <c r="L414" s="122"/>
    </row>
    <row r="415" spans="2:12" ht="18.75" x14ac:dyDescent="0.3">
      <c r="B415" s="122"/>
      <c r="C415" s="123"/>
      <c r="D415" s="123"/>
      <c r="E415" s="123"/>
      <c r="F415" s="130"/>
      <c r="G415" s="140"/>
      <c r="H415" s="140"/>
      <c r="I415" s="140"/>
      <c r="J415" s="140"/>
      <c r="K415" s="140"/>
      <c r="L415" s="122"/>
    </row>
    <row r="416" spans="2:12" ht="18.75" x14ac:dyDescent="0.3">
      <c r="B416" s="122"/>
      <c r="C416" s="123"/>
      <c r="D416" s="123"/>
      <c r="E416" s="123"/>
      <c r="F416" s="130"/>
      <c r="G416" s="140"/>
      <c r="H416" s="140"/>
      <c r="I416" s="140"/>
      <c r="J416" s="140"/>
      <c r="K416" s="140"/>
      <c r="L416" s="122"/>
    </row>
    <row r="417" spans="2:12" ht="18.75" x14ac:dyDescent="0.3">
      <c r="B417" s="122"/>
      <c r="C417" s="123"/>
      <c r="D417" s="123"/>
      <c r="E417" s="123"/>
      <c r="F417" s="130"/>
      <c r="G417" s="140"/>
      <c r="H417" s="140"/>
      <c r="I417" s="140"/>
      <c r="J417" s="140"/>
      <c r="K417" s="140"/>
      <c r="L417" s="122"/>
    </row>
    <row r="418" spans="2:12" ht="18.75" x14ac:dyDescent="0.3">
      <c r="B418" s="122"/>
      <c r="C418" s="123"/>
      <c r="D418" s="123"/>
      <c r="E418" s="123"/>
      <c r="F418" s="130"/>
      <c r="G418" s="140"/>
      <c r="H418" s="140"/>
      <c r="I418" s="140"/>
      <c r="J418" s="140"/>
      <c r="K418" s="140"/>
      <c r="L418" s="122"/>
    </row>
    <row r="419" spans="2:12" ht="18.75" x14ac:dyDescent="0.3">
      <c r="B419" s="122"/>
      <c r="C419" s="123"/>
      <c r="D419" s="123"/>
      <c r="E419" s="123"/>
      <c r="F419" s="130"/>
      <c r="G419" s="140"/>
      <c r="H419" s="140"/>
      <c r="I419" s="140"/>
      <c r="J419" s="140"/>
      <c r="K419" s="140"/>
      <c r="L419" s="122"/>
    </row>
    <row r="420" spans="2:12" ht="18.75" x14ac:dyDescent="0.3">
      <c r="B420" s="122"/>
      <c r="C420" s="123"/>
      <c r="D420" s="123"/>
      <c r="E420" s="123"/>
      <c r="F420" s="130"/>
      <c r="G420" s="140"/>
      <c r="H420" s="140"/>
      <c r="I420" s="140"/>
      <c r="J420" s="140"/>
      <c r="K420" s="140"/>
      <c r="L420" s="122"/>
    </row>
    <row r="421" spans="2:12" ht="18.75" x14ac:dyDescent="0.3">
      <c r="B421" s="122"/>
      <c r="C421" s="123"/>
      <c r="D421" s="123"/>
      <c r="E421" s="123"/>
      <c r="F421" s="130"/>
      <c r="G421" s="140"/>
      <c r="H421" s="140"/>
      <c r="I421" s="140"/>
      <c r="J421" s="140"/>
      <c r="K421" s="140"/>
      <c r="L421" s="122"/>
    </row>
    <row r="422" spans="2:12" ht="18.75" x14ac:dyDescent="0.3">
      <c r="B422" s="122"/>
      <c r="C422" s="123"/>
      <c r="D422" s="123"/>
      <c r="E422" s="123"/>
      <c r="F422" s="130"/>
      <c r="G422" s="140"/>
      <c r="H422" s="140"/>
      <c r="I422" s="140"/>
      <c r="J422" s="140"/>
      <c r="K422" s="140"/>
      <c r="L422" s="122"/>
    </row>
    <row r="423" spans="2:12" ht="18.75" x14ac:dyDescent="0.3">
      <c r="B423" s="125"/>
      <c r="C423" s="126"/>
      <c r="D423" s="126"/>
      <c r="E423" s="126"/>
      <c r="F423" s="126"/>
      <c r="G423" s="117"/>
      <c r="H423" s="117"/>
      <c r="I423" s="117"/>
      <c r="J423" s="117"/>
      <c r="K423" s="117"/>
      <c r="L423" s="125"/>
    </row>
    <row r="424" spans="2:12" ht="18.75" x14ac:dyDescent="0.3">
      <c r="B424" s="133"/>
      <c r="C424" s="117"/>
      <c r="D424" s="117"/>
      <c r="E424" s="117"/>
      <c r="F424" s="117"/>
      <c r="G424" s="117"/>
      <c r="H424" s="117"/>
      <c r="I424" s="117"/>
      <c r="J424" s="117"/>
      <c r="K424" s="117"/>
      <c r="L424" s="133"/>
    </row>
    <row r="425" spans="2:12" ht="18.75" x14ac:dyDescent="0.25">
      <c r="B425" s="127"/>
      <c r="C425" s="128"/>
      <c r="D425" s="128"/>
      <c r="E425" s="128"/>
      <c r="F425" s="128"/>
      <c r="G425" s="128"/>
      <c r="H425" s="128"/>
      <c r="I425" s="128"/>
      <c r="J425" s="128"/>
      <c r="K425" s="128"/>
      <c r="L425" s="127"/>
    </row>
    <row r="426" spans="2:12" ht="18.75" x14ac:dyDescent="0.3">
      <c r="B426" s="122"/>
      <c r="C426" s="171"/>
      <c r="D426" s="171"/>
      <c r="E426" s="117"/>
      <c r="F426" s="171"/>
      <c r="G426" s="117"/>
      <c r="H426" s="117"/>
      <c r="I426" s="117"/>
      <c r="J426" s="117"/>
      <c r="K426" s="117"/>
      <c r="L426" s="122"/>
    </row>
    <row r="427" spans="2:12" ht="18.75" x14ac:dyDescent="0.3">
      <c r="B427" s="122"/>
      <c r="C427" s="171"/>
      <c r="D427" s="171"/>
      <c r="E427" s="129"/>
      <c r="F427" s="171"/>
      <c r="G427" s="117"/>
      <c r="H427" s="117"/>
      <c r="I427" s="117"/>
      <c r="J427" s="117"/>
      <c r="K427" s="117"/>
      <c r="L427" s="122"/>
    </row>
    <row r="428" spans="2:12" ht="18.75" x14ac:dyDescent="0.3">
      <c r="B428" s="122"/>
      <c r="C428" s="171"/>
      <c r="D428" s="171"/>
      <c r="E428" s="129"/>
      <c r="F428" s="171"/>
      <c r="G428" s="117"/>
      <c r="H428" s="117"/>
      <c r="I428" s="117"/>
      <c r="J428" s="117"/>
      <c r="K428" s="117"/>
      <c r="L428" s="122"/>
    </row>
    <row r="429" spans="2:12" ht="18.75" x14ac:dyDescent="0.3">
      <c r="B429" s="122"/>
      <c r="C429" s="171"/>
      <c r="D429" s="171"/>
      <c r="E429" s="117"/>
      <c r="F429" s="171"/>
      <c r="G429" s="117"/>
      <c r="H429" s="117"/>
      <c r="I429" s="117"/>
      <c r="J429" s="117"/>
      <c r="K429" s="117"/>
      <c r="L429" s="122"/>
    </row>
    <row r="430" spans="2:12" ht="18.75" x14ac:dyDescent="0.3">
      <c r="B430" s="122"/>
      <c r="C430" s="171"/>
      <c r="D430" s="171"/>
      <c r="E430" s="117"/>
      <c r="F430" s="171"/>
      <c r="G430" s="117"/>
      <c r="H430" s="117"/>
      <c r="I430" s="117"/>
      <c r="J430" s="117"/>
      <c r="K430" s="117"/>
      <c r="L430" s="122"/>
    </row>
    <row r="431" spans="2:12" ht="18.75" x14ac:dyDescent="0.3">
      <c r="B431" s="122"/>
      <c r="C431" s="171"/>
      <c r="D431" s="171"/>
      <c r="E431" s="117"/>
      <c r="F431" s="171"/>
      <c r="G431" s="117"/>
      <c r="H431" s="117"/>
      <c r="I431" s="117"/>
      <c r="J431" s="117"/>
      <c r="K431" s="117"/>
      <c r="L431" s="122"/>
    </row>
    <row r="432" spans="2:12" ht="18.75" x14ac:dyDescent="0.3">
      <c r="B432" s="122"/>
      <c r="C432" s="171"/>
      <c r="D432" s="171"/>
      <c r="E432" s="117"/>
      <c r="F432" s="171"/>
      <c r="G432" s="117"/>
      <c r="H432" s="117"/>
      <c r="I432" s="117"/>
      <c r="J432" s="117"/>
      <c r="K432" s="117"/>
      <c r="L432" s="122"/>
    </row>
    <row r="433" spans="2:12" ht="18.75" x14ac:dyDescent="0.3">
      <c r="B433" s="122"/>
      <c r="C433" s="171"/>
      <c r="D433" s="171"/>
      <c r="E433" s="117"/>
      <c r="F433" s="171"/>
      <c r="G433" s="117"/>
      <c r="H433" s="117"/>
      <c r="I433" s="117"/>
      <c r="J433" s="117"/>
      <c r="K433" s="117"/>
      <c r="L433" s="122"/>
    </row>
    <row r="434" spans="2:12" ht="18.75" x14ac:dyDescent="0.3">
      <c r="B434" s="122"/>
      <c r="C434" s="171"/>
      <c r="D434" s="171"/>
      <c r="E434" s="117"/>
      <c r="F434" s="171"/>
      <c r="G434" s="117"/>
      <c r="H434" s="117"/>
      <c r="I434" s="117"/>
      <c r="J434" s="117"/>
      <c r="K434" s="117"/>
      <c r="L434" s="122"/>
    </row>
    <row r="435" spans="2:12" ht="18.75" x14ac:dyDescent="0.3">
      <c r="B435" s="122"/>
      <c r="C435" s="171"/>
      <c r="D435" s="171"/>
      <c r="E435" s="117"/>
      <c r="F435" s="171"/>
      <c r="G435" s="117"/>
      <c r="H435" s="117"/>
      <c r="I435" s="117"/>
      <c r="J435" s="117"/>
      <c r="K435" s="117"/>
      <c r="L435" s="122"/>
    </row>
    <row r="436" spans="2:12" ht="18.75" x14ac:dyDescent="0.3">
      <c r="B436" s="122"/>
      <c r="C436" s="171"/>
      <c r="D436" s="171"/>
      <c r="E436" s="117"/>
      <c r="F436" s="171"/>
      <c r="G436" s="117"/>
      <c r="H436" s="117"/>
      <c r="I436" s="117"/>
      <c r="J436" s="117"/>
      <c r="K436" s="117"/>
      <c r="L436" s="122"/>
    </row>
    <row r="437" spans="2:12" ht="18.75" x14ac:dyDescent="0.3">
      <c r="B437" s="122"/>
      <c r="C437" s="171"/>
      <c r="D437" s="171"/>
      <c r="E437" s="117"/>
      <c r="F437" s="171"/>
      <c r="G437" s="117"/>
      <c r="H437" s="117"/>
      <c r="I437" s="117"/>
      <c r="J437" s="117"/>
      <c r="K437" s="117"/>
      <c r="L437" s="122"/>
    </row>
    <row r="438" spans="2:12" ht="18.75" x14ac:dyDescent="0.3">
      <c r="B438" s="125"/>
      <c r="C438" s="126"/>
      <c r="D438" s="126"/>
      <c r="E438" s="126"/>
      <c r="F438" s="126"/>
      <c r="G438" s="117"/>
      <c r="H438" s="117"/>
      <c r="I438" s="117"/>
      <c r="J438" s="117"/>
      <c r="K438" s="117"/>
      <c r="L438" s="125"/>
    </row>
    <row r="439" spans="2:12" ht="18.75" x14ac:dyDescent="0.3">
      <c r="B439" s="133"/>
      <c r="C439" s="117"/>
      <c r="D439" s="117"/>
      <c r="E439" s="117"/>
      <c r="F439" s="117"/>
      <c r="G439" s="117"/>
      <c r="H439" s="117"/>
      <c r="I439" s="117"/>
      <c r="J439" s="117"/>
      <c r="K439" s="117"/>
      <c r="L439" s="133"/>
    </row>
    <row r="440" spans="2:12" ht="18.75" x14ac:dyDescent="0.25">
      <c r="B440" s="127"/>
      <c r="C440" s="128"/>
      <c r="D440" s="128"/>
      <c r="E440" s="128"/>
      <c r="F440" s="128"/>
      <c r="G440" s="128"/>
      <c r="H440" s="128"/>
      <c r="I440" s="128"/>
      <c r="J440" s="128"/>
      <c r="K440" s="128"/>
      <c r="L440" s="127"/>
    </row>
    <row r="441" spans="2:12" ht="18.75" x14ac:dyDescent="0.3">
      <c r="B441" s="122"/>
      <c r="C441" s="171"/>
      <c r="D441" s="171"/>
      <c r="E441" s="117"/>
      <c r="F441" s="171"/>
      <c r="G441" s="117"/>
      <c r="H441" s="117"/>
      <c r="I441" s="117"/>
      <c r="J441" s="117"/>
      <c r="K441" s="117"/>
      <c r="L441" s="122"/>
    </row>
    <row r="442" spans="2:12" ht="18.75" x14ac:dyDescent="0.3">
      <c r="B442" s="122"/>
      <c r="C442" s="171"/>
      <c r="D442" s="171"/>
      <c r="E442" s="117"/>
      <c r="F442" s="171"/>
      <c r="G442" s="117"/>
      <c r="H442" s="117"/>
      <c r="I442" s="117"/>
      <c r="J442" s="117"/>
      <c r="K442" s="117"/>
      <c r="L442" s="122"/>
    </row>
    <row r="443" spans="2:12" ht="18.75" x14ac:dyDescent="0.3">
      <c r="B443" s="122"/>
      <c r="C443" s="171"/>
      <c r="D443" s="171"/>
      <c r="E443" s="117"/>
      <c r="F443" s="171"/>
      <c r="G443" s="117"/>
      <c r="H443" s="117"/>
      <c r="I443" s="117"/>
      <c r="J443" s="117"/>
      <c r="K443" s="117"/>
      <c r="L443" s="122"/>
    </row>
    <row r="444" spans="2:12" ht="18.75" x14ac:dyDescent="0.3">
      <c r="B444" s="122"/>
      <c r="C444" s="171"/>
      <c r="D444" s="171"/>
      <c r="E444" s="117"/>
      <c r="F444" s="171"/>
      <c r="G444" s="117"/>
      <c r="H444" s="117"/>
      <c r="I444" s="117"/>
      <c r="J444" s="117"/>
      <c r="K444" s="117"/>
      <c r="L444" s="122"/>
    </row>
    <row r="445" spans="2:12" ht="18.75" x14ac:dyDescent="0.3">
      <c r="B445" s="122"/>
      <c r="C445" s="171"/>
      <c r="D445" s="171"/>
      <c r="E445" s="117"/>
      <c r="F445" s="171"/>
      <c r="G445" s="117"/>
      <c r="H445" s="117"/>
      <c r="I445" s="117"/>
      <c r="J445" s="117"/>
      <c r="K445" s="117"/>
      <c r="L445" s="122"/>
    </row>
    <row r="446" spans="2:12" ht="18.75" x14ac:dyDescent="0.3">
      <c r="B446" s="122"/>
      <c r="C446" s="171"/>
      <c r="D446" s="171"/>
      <c r="E446" s="117"/>
      <c r="F446" s="171"/>
      <c r="G446" s="117"/>
      <c r="H446" s="117"/>
      <c r="I446" s="117"/>
      <c r="J446" s="117"/>
      <c r="K446" s="117"/>
      <c r="L446" s="122"/>
    </row>
    <row r="447" spans="2:12" ht="18.75" x14ac:dyDescent="0.3">
      <c r="B447" s="122"/>
      <c r="C447" s="171"/>
      <c r="D447" s="171"/>
      <c r="E447" s="117"/>
      <c r="F447" s="171"/>
      <c r="G447" s="117"/>
      <c r="H447" s="117"/>
      <c r="I447" s="117"/>
      <c r="J447" s="117"/>
      <c r="K447" s="117"/>
      <c r="L447" s="122"/>
    </row>
    <row r="448" spans="2:12" ht="18.75" x14ac:dyDescent="0.3">
      <c r="B448" s="122"/>
      <c r="C448" s="171"/>
      <c r="D448" s="171"/>
      <c r="E448" s="117"/>
      <c r="F448" s="171"/>
      <c r="G448" s="117"/>
      <c r="H448" s="117"/>
      <c r="I448" s="117"/>
      <c r="J448" s="117"/>
      <c r="K448" s="117"/>
      <c r="L448" s="122"/>
    </row>
    <row r="449" spans="2:12" ht="18.75" x14ac:dyDescent="0.3">
      <c r="B449" s="122"/>
      <c r="C449" s="171"/>
      <c r="D449" s="171"/>
      <c r="E449" s="117"/>
      <c r="F449" s="171"/>
      <c r="G449" s="117"/>
      <c r="H449" s="117"/>
      <c r="I449" s="117"/>
      <c r="J449" s="117"/>
      <c r="K449" s="117"/>
      <c r="L449" s="122"/>
    </row>
    <row r="450" spans="2:12" ht="18.75" x14ac:dyDescent="0.3">
      <c r="B450" s="122"/>
      <c r="C450" s="171"/>
      <c r="D450" s="171"/>
      <c r="E450" s="117"/>
      <c r="F450" s="171"/>
      <c r="G450" s="117"/>
      <c r="H450" s="117"/>
      <c r="I450" s="117"/>
      <c r="J450" s="117"/>
      <c r="K450" s="117"/>
      <c r="L450" s="122"/>
    </row>
    <row r="451" spans="2:12" ht="18.75" x14ac:dyDescent="0.3">
      <c r="B451" s="122"/>
      <c r="C451" s="171"/>
      <c r="D451" s="171"/>
      <c r="E451" s="117"/>
      <c r="F451" s="171"/>
      <c r="G451" s="117"/>
      <c r="H451" s="117"/>
      <c r="I451" s="117"/>
      <c r="J451" s="117"/>
      <c r="K451" s="117"/>
      <c r="L451" s="122"/>
    </row>
    <row r="452" spans="2:12" ht="18.75" x14ac:dyDescent="0.3">
      <c r="B452" s="122"/>
      <c r="C452" s="171"/>
      <c r="D452" s="171"/>
      <c r="E452" s="117"/>
      <c r="F452" s="171"/>
      <c r="G452" s="117"/>
      <c r="H452" s="117"/>
      <c r="I452" s="117"/>
      <c r="J452" s="117"/>
      <c r="K452" s="117"/>
      <c r="L452" s="122"/>
    </row>
    <row r="453" spans="2:12" ht="18.75" x14ac:dyDescent="0.3">
      <c r="B453" s="122"/>
      <c r="C453" s="171"/>
      <c r="D453" s="171"/>
      <c r="E453" s="117"/>
      <c r="F453" s="171"/>
      <c r="G453" s="117"/>
      <c r="H453" s="117"/>
      <c r="I453" s="117"/>
      <c r="J453" s="117"/>
      <c r="K453" s="117"/>
      <c r="L453" s="122"/>
    </row>
    <row r="454" spans="2:12" ht="18.75" x14ac:dyDescent="0.3">
      <c r="B454" s="125"/>
      <c r="C454" s="126"/>
      <c r="D454" s="126"/>
      <c r="E454" s="126"/>
      <c r="F454" s="126"/>
      <c r="G454" s="117"/>
      <c r="H454" s="117"/>
      <c r="I454" s="117"/>
      <c r="J454" s="117"/>
      <c r="K454" s="117"/>
      <c r="L454" s="125"/>
    </row>
    <row r="455" spans="2:12" ht="18.75" x14ac:dyDescent="0.3">
      <c r="B455" s="125"/>
      <c r="C455" s="126"/>
      <c r="D455" s="126"/>
      <c r="E455" s="126"/>
      <c r="F455" s="126"/>
      <c r="G455" s="117"/>
      <c r="H455" s="117"/>
      <c r="I455" s="117"/>
      <c r="J455" s="117"/>
      <c r="K455" s="117"/>
      <c r="L455" s="125"/>
    </row>
    <row r="456" spans="2:12" ht="18.75" x14ac:dyDescent="0.25">
      <c r="B456" s="127"/>
      <c r="C456" s="128"/>
      <c r="D456" s="128"/>
      <c r="E456" s="128"/>
      <c r="F456" s="128"/>
      <c r="G456" s="128"/>
      <c r="H456" s="128"/>
      <c r="I456" s="128"/>
      <c r="J456" s="128"/>
      <c r="K456" s="128"/>
      <c r="L456" s="127"/>
    </row>
    <row r="457" spans="2:12" ht="18.75" x14ac:dyDescent="0.3">
      <c r="B457" s="172"/>
      <c r="C457" s="173"/>
      <c r="D457" s="173"/>
      <c r="E457" s="173"/>
      <c r="F457" s="173"/>
      <c r="G457" s="173"/>
      <c r="H457" s="173"/>
      <c r="I457" s="173"/>
      <c r="J457" s="173"/>
      <c r="K457" s="173"/>
      <c r="L457" s="172"/>
    </row>
    <row r="458" spans="2:12" ht="18.75" x14ac:dyDescent="0.3">
      <c r="B458" s="172"/>
      <c r="C458" s="173"/>
      <c r="D458" s="173"/>
      <c r="E458" s="173"/>
      <c r="F458" s="173"/>
      <c r="G458" s="173"/>
      <c r="H458" s="173"/>
      <c r="I458" s="173"/>
      <c r="J458" s="173"/>
      <c r="K458" s="173"/>
      <c r="L458" s="172"/>
    </row>
    <row r="459" spans="2:12" ht="18.75" x14ac:dyDescent="0.3">
      <c r="B459" s="172"/>
      <c r="C459" s="173"/>
      <c r="D459" s="173"/>
      <c r="E459" s="173"/>
      <c r="F459" s="173"/>
      <c r="G459" s="173"/>
      <c r="H459" s="173"/>
      <c r="I459" s="173"/>
      <c r="J459" s="173"/>
      <c r="K459" s="173"/>
      <c r="L459" s="172"/>
    </row>
    <row r="460" spans="2:12" ht="18.75" x14ac:dyDescent="0.3">
      <c r="B460" s="172"/>
      <c r="C460" s="173"/>
      <c r="D460" s="173"/>
      <c r="E460" s="173"/>
      <c r="F460" s="173"/>
      <c r="G460" s="173"/>
      <c r="H460" s="173"/>
      <c r="I460" s="173"/>
      <c r="J460" s="173"/>
      <c r="K460" s="173"/>
      <c r="L460" s="172"/>
    </row>
    <row r="461" spans="2:12" ht="18.75" x14ac:dyDescent="0.3">
      <c r="B461" s="172"/>
      <c r="C461" s="173"/>
      <c r="D461" s="173"/>
      <c r="E461" s="173"/>
      <c r="F461" s="173"/>
      <c r="G461" s="173"/>
      <c r="H461" s="173"/>
      <c r="I461" s="173"/>
      <c r="J461" s="173"/>
      <c r="K461" s="173"/>
      <c r="L461" s="172"/>
    </row>
    <row r="462" spans="2:12" ht="18.75" x14ac:dyDescent="0.3">
      <c r="B462" s="172"/>
      <c r="C462" s="173"/>
      <c r="D462" s="173"/>
      <c r="E462" s="173"/>
      <c r="F462" s="173"/>
      <c r="G462" s="173"/>
      <c r="H462" s="173"/>
      <c r="I462" s="173"/>
      <c r="J462" s="173"/>
      <c r="K462" s="173"/>
      <c r="L462" s="172"/>
    </row>
    <row r="463" spans="2:12" ht="18.75" x14ac:dyDescent="0.3">
      <c r="B463" s="172"/>
      <c r="C463" s="173"/>
      <c r="D463" s="173"/>
      <c r="E463" s="173"/>
      <c r="F463" s="173"/>
      <c r="G463" s="173"/>
      <c r="H463" s="173"/>
      <c r="I463" s="173"/>
      <c r="J463" s="173"/>
      <c r="K463" s="173"/>
      <c r="L463" s="172"/>
    </row>
    <row r="464" spans="2:12" ht="18.75" x14ac:dyDescent="0.3">
      <c r="B464" s="172"/>
      <c r="C464" s="173"/>
      <c r="D464" s="173"/>
      <c r="E464" s="173"/>
      <c r="F464" s="173"/>
      <c r="G464" s="173"/>
      <c r="H464" s="173"/>
      <c r="I464" s="173"/>
      <c r="J464" s="173"/>
      <c r="K464" s="173"/>
      <c r="L464" s="172"/>
    </row>
    <row r="465" spans="2:12" ht="18.75" x14ac:dyDescent="0.3">
      <c r="B465" s="172"/>
      <c r="C465" s="173"/>
      <c r="D465" s="173"/>
      <c r="E465" s="173"/>
      <c r="F465" s="173"/>
      <c r="G465" s="173"/>
      <c r="H465" s="173"/>
      <c r="I465" s="173"/>
      <c r="J465" s="173"/>
      <c r="K465" s="173"/>
      <c r="L465" s="172"/>
    </row>
    <row r="466" spans="2:12" ht="18.75" x14ac:dyDescent="0.3">
      <c r="B466" s="172"/>
      <c r="C466" s="173"/>
      <c r="D466" s="173"/>
      <c r="E466" s="173"/>
      <c r="F466" s="173"/>
      <c r="G466" s="173"/>
      <c r="H466" s="173"/>
      <c r="I466" s="173"/>
      <c r="J466" s="173"/>
      <c r="K466" s="173"/>
      <c r="L466" s="172"/>
    </row>
    <row r="467" spans="2:12" ht="18.75" x14ac:dyDescent="0.3">
      <c r="B467" s="172"/>
      <c r="C467" s="173"/>
      <c r="D467" s="173"/>
      <c r="E467" s="173"/>
      <c r="F467" s="173"/>
      <c r="G467" s="173"/>
      <c r="H467" s="173"/>
      <c r="I467" s="173"/>
      <c r="J467" s="173"/>
      <c r="K467" s="173"/>
      <c r="L467" s="172"/>
    </row>
    <row r="468" spans="2:12" ht="18.75" x14ac:dyDescent="0.3">
      <c r="B468" s="172"/>
      <c r="C468" s="173"/>
      <c r="D468" s="173"/>
      <c r="E468" s="173"/>
      <c r="F468" s="173"/>
      <c r="G468" s="173"/>
      <c r="H468" s="173"/>
      <c r="I468" s="173"/>
      <c r="J468" s="173"/>
      <c r="K468" s="173"/>
      <c r="L468" s="172"/>
    </row>
    <row r="469" spans="2:12" ht="18.75" x14ac:dyDescent="0.3">
      <c r="B469" s="125"/>
      <c r="C469" s="126"/>
      <c r="D469" s="126"/>
      <c r="E469" s="126"/>
      <c r="F469" s="126"/>
      <c r="G469" s="117"/>
      <c r="H469" s="117"/>
      <c r="I469" s="117"/>
      <c r="J469" s="117"/>
      <c r="K469" s="117"/>
      <c r="L469" s="125"/>
    </row>
    <row r="470" spans="2:12" ht="18.75" x14ac:dyDescent="0.3">
      <c r="B470" s="133"/>
      <c r="C470" s="117"/>
      <c r="D470" s="117"/>
      <c r="E470" s="117"/>
      <c r="F470" s="117"/>
      <c r="G470" s="117"/>
      <c r="H470" s="117"/>
      <c r="I470" s="117"/>
      <c r="J470" s="117"/>
      <c r="K470" s="117"/>
      <c r="L470" s="133"/>
    </row>
    <row r="471" spans="2:12" ht="18.75" x14ac:dyDescent="0.25">
      <c r="B471" s="127"/>
      <c r="C471" s="128"/>
      <c r="D471" s="128"/>
      <c r="E471" s="128"/>
      <c r="F471" s="128"/>
      <c r="G471" s="128"/>
      <c r="H471" s="128"/>
      <c r="I471" s="128"/>
      <c r="J471" s="128"/>
      <c r="K471" s="128"/>
      <c r="L471" s="127"/>
    </row>
    <row r="472" spans="2:12" ht="18.75" x14ac:dyDescent="0.3">
      <c r="B472" s="122"/>
      <c r="C472" s="123"/>
      <c r="D472" s="123"/>
      <c r="E472" s="123"/>
      <c r="F472" s="123"/>
      <c r="G472" s="117"/>
      <c r="H472" s="117"/>
      <c r="I472" s="117"/>
      <c r="J472" s="117"/>
      <c r="K472" s="117"/>
      <c r="L472" s="122"/>
    </row>
    <row r="473" spans="2:12" ht="18.75" x14ac:dyDescent="0.3">
      <c r="B473" s="122"/>
      <c r="C473" s="123"/>
      <c r="D473" s="123"/>
      <c r="E473" s="123"/>
      <c r="F473" s="123"/>
      <c r="G473" s="117"/>
      <c r="H473" s="117"/>
      <c r="I473" s="117"/>
      <c r="J473" s="117"/>
      <c r="K473" s="117"/>
      <c r="L473" s="122"/>
    </row>
    <row r="474" spans="2:12" ht="18.75" x14ac:dyDescent="0.3">
      <c r="B474" s="122"/>
      <c r="C474" s="123"/>
      <c r="D474" s="123"/>
      <c r="E474" s="123"/>
      <c r="F474" s="123"/>
      <c r="G474" s="117"/>
      <c r="H474" s="117"/>
      <c r="I474" s="117"/>
      <c r="J474" s="117"/>
      <c r="K474" s="117"/>
      <c r="L474" s="122"/>
    </row>
    <row r="475" spans="2:12" ht="18.75" x14ac:dyDescent="0.3">
      <c r="B475" s="122"/>
      <c r="C475" s="123"/>
      <c r="D475" s="123"/>
      <c r="E475" s="123"/>
      <c r="F475" s="123"/>
      <c r="G475" s="117"/>
      <c r="H475" s="117"/>
      <c r="I475" s="117"/>
      <c r="J475" s="117"/>
      <c r="K475" s="117"/>
      <c r="L475" s="122"/>
    </row>
    <row r="476" spans="2:12" ht="18.75" x14ac:dyDescent="0.3">
      <c r="B476" s="122"/>
      <c r="C476" s="123"/>
      <c r="D476" s="123"/>
      <c r="E476" s="123"/>
      <c r="F476" s="123"/>
      <c r="G476" s="117"/>
      <c r="H476" s="117"/>
      <c r="I476" s="117"/>
      <c r="J476" s="117"/>
      <c r="K476" s="117"/>
      <c r="L476" s="122"/>
    </row>
    <row r="477" spans="2:12" ht="18.75" x14ac:dyDescent="0.3">
      <c r="B477" s="122"/>
      <c r="C477" s="123"/>
      <c r="D477" s="123"/>
      <c r="E477" s="123"/>
      <c r="F477" s="123"/>
      <c r="G477" s="117"/>
      <c r="H477" s="117"/>
      <c r="I477" s="117"/>
      <c r="J477" s="117"/>
      <c r="K477" s="117"/>
      <c r="L477" s="122"/>
    </row>
    <row r="478" spans="2:12" ht="18.75" x14ac:dyDescent="0.3">
      <c r="B478" s="122"/>
      <c r="C478" s="123"/>
      <c r="D478" s="123"/>
      <c r="E478" s="123"/>
      <c r="F478" s="123"/>
      <c r="G478" s="117"/>
      <c r="H478" s="117"/>
      <c r="I478" s="117"/>
      <c r="J478" s="117"/>
      <c r="K478" s="117"/>
      <c r="L478" s="122"/>
    </row>
    <row r="479" spans="2:12" ht="18.75" x14ac:dyDescent="0.3">
      <c r="B479" s="122"/>
      <c r="C479" s="123"/>
      <c r="D479" s="123"/>
      <c r="E479" s="123"/>
      <c r="F479" s="123"/>
      <c r="G479" s="117"/>
      <c r="H479" s="117"/>
      <c r="I479" s="117"/>
      <c r="J479" s="117"/>
      <c r="K479" s="117"/>
      <c r="L479" s="122"/>
    </row>
    <row r="480" spans="2:12" ht="18.75" x14ac:dyDescent="0.3">
      <c r="B480" s="122"/>
      <c r="C480" s="123"/>
      <c r="D480" s="123"/>
      <c r="E480" s="123"/>
      <c r="F480" s="123"/>
      <c r="G480" s="117"/>
      <c r="H480" s="117"/>
      <c r="I480" s="117"/>
      <c r="J480" s="117"/>
      <c r="K480" s="117"/>
      <c r="L480" s="122"/>
    </row>
    <row r="481" spans="2:12" ht="18.75" x14ac:dyDescent="0.3">
      <c r="B481" s="122"/>
      <c r="C481" s="123"/>
      <c r="D481" s="123"/>
      <c r="E481" s="123"/>
      <c r="F481" s="123"/>
      <c r="G481" s="117"/>
      <c r="H481" s="117"/>
      <c r="I481" s="117"/>
      <c r="J481" s="117"/>
      <c r="K481" s="117"/>
      <c r="L481" s="122"/>
    </row>
    <row r="482" spans="2:12" ht="18.75" x14ac:dyDescent="0.3">
      <c r="B482" s="122"/>
      <c r="C482" s="123"/>
      <c r="D482" s="123"/>
      <c r="E482" s="123"/>
      <c r="F482" s="123"/>
      <c r="G482" s="117"/>
      <c r="H482" s="117"/>
      <c r="I482" s="117"/>
      <c r="J482" s="117"/>
      <c r="K482" s="117"/>
      <c r="L482" s="122"/>
    </row>
    <row r="483" spans="2:12" ht="18.75" x14ac:dyDescent="0.3">
      <c r="B483" s="122"/>
      <c r="C483" s="123"/>
      <c r="D483" s="123"/>
      <c r="E483" s="123"/>
      <c r="F483" s="123"/>
      <c r="G483" s="117"/>
      <c r="H483" s="117"/>
      <c r="I483" s="117"/>
      <c r="J483" s="117"/>
      <c r="K483" s="117"/>
      <c r="L483" s="122"/>
    </row>
    <row r="484" spans="2:12" ht="18.75" x14ac:dyDescent="0.3">
      <c r="B484" s="125"/>
      <c r="C484" s="126"/>
      <c r="D484" s="126"/>
      <c r="E484" s="126"/>
      <c r="F484" s="126"/>
      <c r="G484" s="117"/>
      <c r="H484" s="117"/>
      <c r="I484" s="117"/>
      <c r="J484" s="117"/>
      <c r="K484" s="117"/>
      <c r="L484" s="125"/>
    </row>
    <row r="485" spans="2:12" ht="18.75" x14ac:dyDescent="0.3">
      <c r="B485" s="133"/>
      <c r="C485" s="117"/>
      <c r="D485" s="117"/>
      <c r="E485" s="117"/>
      <c r="F485" s="117"/>
      <c r="G485" s="117"/>
      <c r="H485" s="117"/>
      <c r="I485" s="117"/>
      <c r="J485" s="117"/>
      <c r="K485" s="117"/>
      <c r="L485" s="133"/>
    </row>
    <row r="486" spans="2:12" ht="18.75" x14ac:dyDescent="0.25">
      <c r="B486" s="127"/>
      <c r="C486" s="128"/>
      <c r="D486" s="128"/>
      <c r="E486" s="128"/>
      <c r="F486" s="128"/>
      <c r="G486" s="128"/>
      <c r="H486" s="128"/>
      <c r="I486" s="128"/>
      <c r="J486" s="128"/>
      <c r="K486" s="128"/>
      <c r="L486" s="127"/>
    </row>
    <row r="487" spans="2:12" ht="18.75" x14ac:dyDescent="0.3">
      <c r="B487" s="122"/>
      <c r="C487" s="123"/>
      <c r="D487" s="123"/>
      <c r="E487" s="117"/>
      <c r="F487" s="123"/>
      <c r="G487" s="133"/>
      <c r="H487" s="133"/>
      <c r="I487" s="133"/>
      <c r="J487" s="133"/>
      <c r="K487" s="133"/>
      <c r="L487" s="122"/>
    </row>
    <row r="488" spans="2:12" ht="18.75" x14ac:dyDescent="0.3">
      <c r="B488" s="122"/>
      <c r="C488" s="123"/>
      <c r="D488" s="123"/>
      <c r="E488" s="117"/>
      <c r="F488" s="123"/>
      <c r="G488" s="133"/>
      <c r="H488" s="133"/>
      <c r="I488" s="133"/>
      <c r="J488" s="133"/>
      <c r="K488" s="133"/>
      <c r="L488" s="122"/>
    </row>
    <row r="489" spans="2:12" ht="18.75" x14ac:dyDescent="0.3">
      <c r="B489" s="122"/>
      <c r="C489" s="123"/>
      <c r="D489" s="123"/>
      <c r="E489" s="117"/>
      <c r="F489" s="123"/>
      <c r="G489" s="133"/>
      <c r="H489" s="133"/>
      <c r="I489" s="133"/>
      <c r="J489" s="133"/>
      <c r="K489" s="133"/>
      <c r="L489" s="122"/>
    </row>
    <row r="490" spans="2:12" ht="18.75" x14ac:dyDescent="0.3">
      <c r="B490" s="122"/>
      <c r="C490" s="123"/>
      <c r="D490" s="123"/>
      <c r="E490" s="117"/>
      <c r="F490" s="123"/>
      <c r="G490" s="133"/>
      <c r="H490" s="133"/>
      <c r="I490" s="133"/>
      <c r="J490" s="133"/>
      <c r="K490" s="133"/>
      <c r="L490" s="122"/>
    </row>
    <row r="491" spans="2:12" ht="18.75" x14ac:dyDescent="0.3">
      <c r="B491" s="122"/>
      <c r="C491" s="123"/>
      <c r="D491" s="123"/>
      <c r="E491" s="117"/>
      <c r="F491" s="123"/>
      <c r="G491" s="133"/>
      <c r="H491" s="133"/>
      <c r="I491" s="133"/>
      <c r="J491" s="133"/>
      <c r="K491" s="133"/>
      <c r="L491" s="122"/>
    </row>
    <row r="492" spans="2:12" ht="18.75" x14ac:dyDescent="0.3">
      <c r="B492" s="122"/>
      <c r="C492" s="123"/>
      <c r="D492" s="123"/>
      <c r="E492" s="117"/>
      <c r="F492" s="123"/>
      <c r="G492" s="133"/>
      <c r="H492" s="133"/>
      <c r="I492" s="133"/>
      <c r="J492" s="133"/>
      <c r="K492" s="133"/>
      <c r="L492" s="122"/>
    </row>
    <row r="493" spans="2:12" ht="18.75" x14ac:dyDescent="0.3">
      <c r="B493" s="122"/>
      <c r="C493" s="123"/>
      <c r="D493" s="123"/>
      <c r="E493" s="117"/>
      <c r="F493" s="123"/>
      <c r="G493" s="133"/>
      <c r="H493" s="133"/>
      <c r="I493" s="133"/>
      <c r="J493" s="133"/>
      <c r="K493" s="133"/>
      <c r="L493" s="122"/>
    </row>
    <row r="494" spans="2:12" ht="18.75" x14ac:dyDescent="0.3">
      <c r="B494" s="122"/>
      <c r="C494" s="123"/>
      <c r="D494" s="123"/>
      <c r="E494" s="117"/>
      <c r="F494" s="123"/>
      <c r="G494" s="133"/>
      <c r="H494" s="133"/>
      <c r="I494" s="133"/>
      <c r="J494" s="133"/>
      <c r="K494" s="133"/>
      <c r="L494" s="122"/>
    </row>
    <row r="495" spans="2:12" ht="18.75" x14ac:dyDescent="0.3">
      <c r="B495" s="122"/>
      <c r="C495" s="123"/>
      <c r="D495" s="123"/>
      <c r="E495" s="117"/>
      <c r="F495" s="123"/>
      <c r="G495" s="133"/>
      <c r="H495" s="133"/>
      <c r="I495" s="133"/>
      <c r="J495" s="133"/>
      <c r="K495" s="133"/>
      <c r="L495" s="122"/>
    </row>
    <row r="496" spans="2:12" ht="18.75" x14ac:dyDescent="0.3">
      <c r="B496" s="122"/>
      <c r="C496" s="123"/>
      <c r="D496" s="123"/>
      <c r="E496" s="117"/>
      <c r="F496" s="123"/>
      <c r="G496" s="133"/>
      <c r="H496" s="133"/>
      <c r="I496" s="133"/>
      <c r="J496" s="133"/>
      <c r="K496" s="133"/>
      <c r="L496" s="122"/>
    </row>
    <row r="497" spans="2:12" ht="18.75" x14ac:dyDescent="0.3">
      <c r="B497" s="122"/>
      <c r="C497" s="123"/>
      <c r="D497" s="123"/>
      <c r="E497" s="117"/>
      <c r="F497" s="123"/>
      <c r="G497" s="133"/>
      <c r="H497" s="133"/>
      <c r="I497" s="133"/>
      <c r="J497" s="133"/>
      <c r="K497" s="133"/>
      <c r="L497" s="122"/>
    </row>
    <row r="498" spans="2:12" ht="18.75" x14ac:dyDescent="0.3">
      <c r="B498" s="122"/>
      <c r="C498" s="123"/>
      <c r="D498" s="123"/>
      <c r="E498" s="117"/>
      <c r="F498" s="123"/>
      <c r="G498" s="133"/>
      <c r="H498" s="133"/>
      <c r="I498" s="133"/>
      <c r="J498" s="133"/>
      <c r="K498" s="133"/>
      <c r="L498" s="122"/>
    </row>
    <row r="499" spans="2:12" ht="18.75" x14ac:dyDescent="0.3">
      <c r="B499" s="125"/>
      <c r="C499" s="126"/>
      <c r="D499" s="126"/>
      <c r="E499" s="126"/>
      <c r="F499" s="126"/>
      <c r="G499" s="117"/>
      <c r="H499" s="117"/>
      <c r="I499" s="117"/>
      <c r="J499" s="117"/>
      <c r="K499" s="117"/>
      <c r="L499" s="125"/>
    </row>
    <row r="500" spans="2:12" ht="18.75" x14ac:dyDescent="0.3">
      <c r="B500" s="133"/>
      <c r="C500" s="117"/>
      <c r="D500" s="117"/>
      <c r="E500" s="117"/>
      <c r="F500" s="117"/>
      <c r="G500" s="117"/>
      <c r="H500" s="117"/>
      <c r="I500" s="117"/>
      <c r="J500" s="117"/>
      <c r="K500" s="117"/>
      <c r="L500" s="133"/>
    </row>
    <row r="501" spans="2:12" ht="18.75" x14ac:dyDescent="0.25">
      <c r="B501" s="127"/>
      <c r="C501" s="128"/>
      <c r="D501" s="128"/>
      <c r="E501" s="128"/>
      <c r="F501" s="128"/>
      <c r="G501" s="128"/>
      <c r="H501" s="128"/>
      <c r="I501" s="128"/>
      <c r="J501" s="128"/>
      <c r="K501" s="128"/>
      <c r="L501" s="127"/>
    </row>
    <row r="502" spans="2:12" ht="18.75" x14ac:dyDescent="0.3">
      <c r="B502" s="122"/>
      <c r="C502" s="123"/>
      <c r="D502" s="129"/>
      <c r="E502" s="129"/>
      <c r="F502" s="123"/>
      <c r="G502" s="117"/>
      <c r="H502" s="117"/>
      <c r="I502" s="117"/>
      <c r="J502" s="117"/>
      <c r="K502" s="117"/>
      <c r="L502" s="122"/>
    </row>
    <row r="503" spans="2:12" ht="18.75" x14ac:dyDescent="0.3">
      <c r="B503" s="122"/>
      <c r="C503" s="123"/>
      <c r="D503" s="129"/>
      <c r="E503" s="129"/>
      <c r="F503" s="123"/>
      <c r="G503" s="117"/>
      <c r="H503" s="117"/>
      <c r="I503" s="117"/>
      <c r="J503" s="117"/>
      <c r="K503" s="117"/>
      <c r="L503" s="122"/>
    </row>
    <row r="504" spans="2:12" ht="18.75" x14ac:dyDescent="0.3">
      <c r="B504" s="122"/>
      <c r="C504" s="123"/>
      <c r="D504" s="129"/>
      <c r="E504" s="117"/>
      <c r="F504" s="123"/>
      <c r="G504" s="117"/>
      <c r="H504" s="117"/>
      <c r="I504" s="117"/>
      <c r="J504" s="117"/>
      <c r="K504" s="117"/>
      <c r="L504" s="122"/>
    </row>
    <row r="505" spans="2:12" ht="18.75" x14ac:dyDescent="0.3">
      <c r="B505" s="122"/>
      <c r="C505" s="123"/>
      <c r="D505" s="129"/>
      <c r="E505" s="129"/>
      <c r="F505" s="123"/>
      <c r="G505" s="117"/>
      <c r="H505" s="117"/>
      <c r="I505" s="117"/>
      <c r="J505" s="117"/>
      <c r="K505" s="117"/>
      <c r="L505" s="122"/>
    </row>
    <row r="506" spans="2:12" ht="18.75" x14ac:dyDescent="0.3">
      <c r="B506" s="122"/>
      <c r="C506" s="123"/>
      <c r="D506" s="129"/>
      <c r="E506" s="117"/>
      <c r="F506" s="123"/>
      <c r="G506" s="117"/>
      <c r="H506" s="117"/>
      <c r="I506" s="117"/>
      <c r="J506" s="117"/>
      <c r="K506" s="117"/>
      <c r="L506" s="122"/>
    </row>
    <row r="507" spans="2:12" ht="18.75" x14ac:dyDescent="0.3">
      <c r="B507" s="122"/>
      <c r="C507" s="123"/>
      <c r="D507" s="129"/>
      <c r="E507" s="117"/>
      <c r="F507" s="123"/>
      <c r="G507" s="117"/>
      <c r="H507" s="117"/>
      <c r="I507" s="117"/>
      <c r="J507" s="117"/>
      <c r="K507" s="117"/>
      <c r="L507" s="122"/>
    </row>
    <row r="508" spans="2:12" ht="18.75" x14ac:dyDescent="0.3">
      <c r="B508" s="122"/>
      <c r="C508" s="123"/>
      <c r="D508" s="129"/>
      <c r="E508" s="117"/>
      <c r="F508" s="123"/>
      <c r="G508" s="117"/>
      <c r="H508" s="117"/>
      <c r="I508" s="117"/>
      <c r="J508" s="117"/>
      <c r="K508" s="117"/>
      <c r="L508" s="122"/>
    </row>
    <row r="509" spans="2:12" ht="18.75" x14ac:dyDescent="0.3">
      <c r="B509" s="122"/>
      <c r="C509" s="123"/>
      <c r="D509" s="129"/>
      <c r="E509" s="117"/>
      <c r="F509" s="123"/>
      <c r="G509" s="117"/>
      <c r="H509" s="117"/>
      <c r="I509" s="117"/>
      <c r="J509" s="117"/>
      <c r="K509" s="117"/>
      <c r="L509" s="122"/>
    </row>
    <row r="510" spans="2:12" ht="18.75" x14ac:dyDescent="0.3">
      <c r="B510" s="122"/>
      <c r="C510" s="123"/>
      <c r="D510" s="129"/>
      <c r="E510" s="117"/>
      <c r="F510" s="123"/>
      <c r="G510" s="117"/>
      <c r="H510" s="117"/>
      <c r="I510" s="117"/>
      <c r="J510" s="117"/>
      <c r="K510" s="117"/>
      <c r="L510" s="122"/>
    </row>
    <row r="511" spans="2:12" ht="18.75" x14ac:dyDescent="0.3">
      <c r="B511" s="122"/>
      <c r="C511" s="123"/>
      <c r="D511" s="129"/>
      <c r="E511" s="117"/>
      <c r="F511" s="123"/>
      <c r="G511" s="117"/>
      <c r="H511" s="117"/>
      <c r="I511" s="117"/>
      <c r="J511" s="117"/>
      <c r="K511" s="117"/>
      <c r="L511" s="122"/>
    </row>
    <row r="512" spans="2:12" ht="18.75" x14ac:dyDescent="0.3">
      <c r="B512" s="122"/>
      <c r="C512" s="123"/>
      <c r="D512" s="129"/>
      <c r="E512" s="117"/>
      <c r="F512" s="123"/>
      <c r="G512" s="117"/>
      <c r="H512" s="117"/>
      <c r="I512" s="117"/>
      <c r="J512" s="117"/>
      <c r="K512" s="117"/>
      <c r="L512" s="122"/>
    </row>
    <row r="513" spans="2:12" ht="18.75" x14ac:dyDescent="0.3">
      <c r="B513" s="122"/>
      <c r="C513" s="123"/>
      <c r="D513" s="129"/>
      <c r="E513" s="117"/>
      <c r="F513" s="123"/>
      <c r="G513" s="117"/>
      <c r="H513" s="117"/>
      <c r="I513" s="117"/>
      <c r="J513" s="117"/>
      <c r="K513" s="117"/>
      <c r="L513" s="122"/>
    </row>
    <row r="514" spans="2:12" ht="18.75" x14ac:dyDescent="0.3">
      <c r="B514" s="125"/>
      <c r="C514" s="126"/>
      <c r="D514" s="126"/>
      <c r="E514" s="126"/>
      <c r="F514" s="126"/>
      <c r="G514" s="117"/>
      <c r="H514" s="117"/>
      <c r="I514" s="117"/>
      <c r="J514" s="117"/>
      <c r="K514" s="117"/>
      <c r="L514" s="125"/>
    </row>
    <row r="515" spans="2:12" ht="18.75" x14ac:dyDescent="0.3">
      <c r="B515" s="133"/>
      <c r="C515" s="117"/>
      <c r="D515" s="117"/>
      <c r="E515" s="117"/>
      <c r="F515" s="117"/>
      <c r="G515" s="117"/>
      <c r="H515" s="117"/>
      <c r="I515" s="117"/>
      <c r="J515" s="117"/>
      <c r="K515" s="117"/>
      <c r="L515" s="133"/>
    </row>
    <row r="516" spans="2:12" ht="18.75" x14ac:dyDescent="0.25">
      <c r="B516" s="127"/>
      <c r="C516" s="128"/>
      <c r="D516" s="128"/>
      <c r="E516" s="128"/>
      <c r="F516" s="128"/>
      <c r="G516" s="128"/>
      <c r="H516" s="128"/>
      <c r="I516" s="128"/>
      <c r="J516" s="128"/>
      <c r="K516" s="128"/>
      <c r="L516" s="127"/>
    </row>
    <row r="517" spans="2:12" ht="18.75" x14ac:dyDescent="0.3">
      <c r="B517" s="122"/>
      <c r="C517" s="123"/>
      <c r="D517" s="123"/>
      <c r="E517" s="123"/>
      <c r="F517" s="130"/>
      <c r="G517" s="117"/>
      <c r="H517" s="117"/>
      <c r="I517" s="117"/>
      <c r="J517" s="117"/>
      <c r="K517" s="117"/>
      <c r="L517" s="122"/>
    </row>
    <row r="518" spans="2:12" ht="18.75" x14ac:dyDescent="0.3">
      <c r="B518" s="122"/>
      <c r="C518" s="123"/>
      <c r="D518" s="123"/>
      <c r="E518" s="123"/>
      <c r="F518" s="130"/>
      <c r="G518" s="117"/>
      <c r="H518" s="117"/>
      <c r="I518" s="117"/>
      <c r="J518" s="117"/>
      <c r="K518" s="117"/>
      <c r="L518" s="122"/>
    </row>
    <row r="519" spans="2:12" ht="18.75" x14ac:dyDescent="0.3">
      <c r="B519" s="122"/>
      <c r="C519" s="123"/>
      <c r="D519" s="123"/>
      <c r="E519" s="123"/>
      <c r="F519" s="130"/>
      <c r="G519" s="117"/>
      <c r="H519" s="117"/>
      <c r="I519" s="117"/>
      <c r="J519" s="117"/>
      <c r="K519" s="117"/>
      <c r="L519" s="122"/>
    </row>
    <row r="520" spans="2:12" ht="18.75" x14ac:dyDescent="0.3">
      <c r="B520" s="122"/>
      <c r="C520" s="123"/>
      <c r="D520" s="123"/>
      <c r="E520" s="123"/>
      <c r="F520" s="130"/>
      <c r="G520" s="117"/>
      <c r="H520" s="117"/>
      <c r="I520" s="117"/>
      <c r="J520" s="117"/>
      <c r="K520" s="117"/>
      <c r="L520" s="122"/>
    </row>
    <row r="521" spans="2:12" ht="18.75" x14ac:dyDescent="0.3">
      <c r="B521" s="122"/>
      <c r="C521" s="123"/>
      <c r="D521" s="123"/>
      <c r="E521" s="123"/>
      <c r="F521" s="130"/>
      <c r="G521" s="117"/>
      <c r="H521" s="117"/>
      <c r="I521" s="117"/>
      <c r="J521" s="117"/>
      <c r="K521" s="117"/>
      <c r="L521" s="122"/>
    </row>
    <row r="522" spans="2:12" ht="18.75" x14ac:dyDescent="0.3">
      <c r="B522" s="122"/>
      <c r="C522" s="123"/>
      <c r="D522" s="123"/>
      <c r="E522" s="123"/>
      <c r="F522" s="130"/>
      <c r="G522" s="117"/>
      <c r="H522" s="117"/>
      <c r="I522" s="117"/>
      <c r="J522" s="117"/>
      <c r="K522" s="117"/>
      <c r="L522" s="122"/>
    </row>
    <row r="523" spans="2:12" ht="18.75" x14ac:dyDescent="0.3">
      <c r="B523" s="122"/>
      <c r="C523" s="123"/>
      <c r="D523" s="123"/>
      <c r="E523" s="123"/>
      <c r="F523" s="130"/>
      <c r="G523" s="117"/>
      <c r="H523" s="117"/>
      <c r="I523" s="117"/>
      <c r="J523" s="117"/>
      <c r="K523" s="117"/>
      <c r="L523" s="122"/>
    </row>
    <row r="524" spans="2:12" ht="18.75" x14ac:dyDescent="0.3">
      <c r="B524" s="122"/>
      <c r="C524" s="123"/>
      <c r="D524" s="123"/>
      <c r="E524" s="123"/>
      <c r="F524" s="130"/>
      <c r="G524" s="117"/>
      <c r="H524" s="117"/>
      <c r="I524" s="117"/>
      <c r="J524" s="117"/>
      <c r="K524" s="117"/>
      <c r="L524" s="122"/>
    </row>
    <row r="525" spans="2:12" ht="18.75" x14ac:dyDescent="0.3">
      <c r="B525" s="122"/>
      <c r="C525" s="123"/>
      <c r="D525" s="123"/>
      <c r="E525" s="123"/>
      <c r="F525" s="130"/>
      <c r="G525" s="117"/>
      <c r="H525" s="117"/>
      <c r="I525" s="117"/>
      <c r="J525" s="117"/>
      <c r="K525" s="117"/>
      <c r="L525" s="122"/>
    </row>
    <row r="526" spans="2:12" ht="18.75" x14ac:dyDescent="0.3">
      <c r="B526" s="122"/>
      <c r="C526" s="123"/>
      <c r="D526" s="123"/>
      <c r="E526" s="123"/>
      <c r="F526" s="130"/>
      <c r="G526" s="117"/>
      <c r="H526" s="117"/>
      <c r="I526" s="117"/>
      <c r="J526" s="117"/>
      <c r="K526" s="117"/>
      <c r="L526" s="122"/>
    </row>
    <row r="527" spans="2:12" ht="18.75" x14ac:dyDescent="0.3">
      <c r="B527" s="122"/>
      <c r="C527" s="123"/>
      <c r="D527" s="123"/>
      <c r="E527" s="123"/>
      <c r="F527" s="130"/>
      <c r="G527" s="117"/>
      <c r="H527" s="117"/>
      <c r="I527" s="117"/>
      <c r="J527" s="117"/>
      <c r="K527" s="117"/>
      <c r="L527" s="122"/>
    </row>
    <row r="528" spans="2:12" ht="18.75" x14ac:dyDescent="0.3">
      <c r="B528" s="122"/>
      <c r="C528" s="123"/>
      <c r="D528" s="123"/>
      <c r="E528" s="123"/>
      <c r="F528" s="130"/>
      <c r="G528" s="117"/>
      <c r="H528" s="117"/>
      <c r="I528" s="117"/>
      <c r="J528" s="117"/>
      <c r="K528" s="117"/>
      <c r="L528" s="122"/>
    </row>
    <row r="529" spans="2:12" ht="18.75" x14ac:dyDescent="0.3">
      <c r="B529" s="125"/>
      <c r="C529" s="126"/>
      <c r="D529" s="126"/>
      <c r="E529" s="126"/>
      <c r="F529" s="126"/>
      <c r="G529" s="117"/>
      <c r="H529" s="117"/>
      <c r="I529" s="117"/>
      <c r="J529" s="117"/>
      <c r="K529" s="117"/>
      <c r="L529" s="125"/>
    </row>
    <row r="530" spans="2:12" ht="18.75" x14ac:dyDescent="0.3">
      <c r="B530" s="133"/>
      <c r="C530" s="117"/>
      <c r="D530" s="117"/>
      <c r="E530" s="117"/>
      <c r="F530" s="117"/>
      <c r="G530" s="117"/>
      <c r="H530" s="117"/>
      <c r="I530" s="117"/>
      <c r="J530" s="117"/>
      <c r="K530" s="117"/>
      <c r="L530" s="133"/>
    </row>
    <row r="531" spans="2:12" ht="18.75" x14ac:dyDescent="0.3">
      <c r="B531" s="141"/>
      <c r="C531" s="117"/>
      <c r="D531" s="117"/>
      <c r="E531" s="117"/>
      <c r="F531" s="117"/>
      <c r="G531" s="117"/>
      <c r="H531" s="117"/>
      <c r="I531" s="117"/>
      <c r="J531" s="117"/>
      <c r="K531" s="117"/>
      <c r="L531" s="141"/>
    </row>
    <row r="532" spans="2:12" ht="18.75" x14ac:dyDescent="0.3">
      <c r="B532" s="133"/>
      <c r="C532" s="117"/>
      <c r="D532" s="117"/>
      <c r="E532" s="117"/>
      <c r="F532" s="117"/>
      <c r="G532" s="117"/>
      <c r="H532" s="117"/>
      <c r="I532" s="117"/>
      <c r="J532" s="117"/>
      <c r="K532" s="117"/>
      <c r="L532" s="133"/>
    </row>
    <row r="533" spans="2:12" ht="18.75" x14ac:dyDescent="0.25">
      <c r="B533" s="127"/>
      <c r="C533" s="128"/>
      <c r="D533" s="128"/>
      <c r="E533" s="128"/>
      <c r="F533" s="128"/>
      <c r="G533" s="128"/>
      <c r="H533" s="128"/>
      <c r="I533" s="128"/>
      <c r="J533" s="128"/>
      <c r="K533" s="128"/>
      <c r="L533" s="127"/>
    </row>
    <row r="534" spans="2:12" ht="18.75" x14ac:dyDescent="0.3">
      <c r="B534" s="122"/>
      <c r="C534" s="130"/>
      <c r="D534" s="123"/>
      <c r="E534" s="123"/>
      <c r="F534" s="130"/>
      <c r="G534" s="117"/>
      <c r="H534" s="117"/>
      <c r="I534" s="117"/>
      <c r="J534" s="117"/>
      <c r="K534" s="117"/>
      <c r="L534" s="122"/>
    </row>
    <row r="535" spans="2:12" ht="18.75" x14ac:dyDescent="0.3">
      <c r="B535" s="122"/>
      <c r="C535" s="130"/>
      <c r="D535" s="123"/>
      <c r="E535" s="123"/>
      <c r="F535" s="130"/>
      <c r="G535" s="117"/>
      <c r="H535" s="117"/>
      <c r="I535" s="117"/>
      <c r="J535" s="117"/>
      <c r="K535" s="117"/>
      <c r="L535" s="122"/>
    </row>
    <row r="536" spans="2:12" ht="18.75" x14ac:dyDescent="0.3">
      <c r="B536" s="122"/>
      <c r="C536" s="130"/>
      <c r="D536" s="123"/>
      <c r="E536" s="123"/>
      <c r="F536" s="130"/>
      <c r="G536" s="117"/>
      <c r="H536" s="117"/>
      <c r="I536" s="117"/>
      <c r="J536" s="117"/>
      <c r="K536" s="117"/>
      <c r="L536" s="122"/>
    </row>
    <row r="537" spans="2:12" ht="18.75" x14ac:dyDescent="0.3">
      <c r="B537" s="122"/>
      <c r="C537" s="130"/>
      <c r="D537" s="123"/>
      <c r="E537" s="123"/>
      <c r="F537" s="130"/>
      <c r="G537" s="117"/>
      <c r="H537" s="117"/>
      <c r="I537" s="117"/>
      <c r="J537" s="117"/>
      <c r="K537" s="117"/>
      <c r="L537" s="122"/>
    </row>
    <row r="538" spans="2:12" ht="18.75" x14ac:dyDescent="0.3">
      <c r="B538" s="122"/>
      <c r="C538" s="130"/>
      <c r="D538" s="123"/>
      <c r="E538" s="123"/>
      <c r="F538" s="130"/>
      <c r="G538" s="117"/>
      <c r="H538" s="117"/>
      <c r="I538" s="117"/>
      <c r="J538" s="117"/>
      <c r="K538" s="117"/>
      <c r="L538" s="122"/>
    </row>
    <row r="539" spans="2:12" ht="18.75" x14ac:dyDescent="0.3">
      <c r="B539" s="122"/>
      <c r="C539" s="130"/>
      <c r="D539" s="123"/>
      <c r="E539" s="123"/>
      <c r="F539" s="130"/>
      <c r="G539" s="117"/>
      <c r="H539" s="117"/>
      <c r="I539" s="117"/>
      <c r="J539" s="117"/>
      <c r="K539" s="117"/>
      <c r="L539" s="122"/>
    </row>
    <row r="540" spans="2:12" ht="18.75" x14ac:dyDescent="0.3">
      <c r="B540" s="122"/>
      <c r="C540" s="130"/>
      <c r="D540" s="123"/>
      <c r="E540" s="123"/>
      <c r="F540" s="130"/>
      <c r="G540" s="117"/>
      <c r="H540" s="117"/>
      <c r="I540" s="117"/>
      <c r="J540" s="117"/>
      <c r="K540" s="117"/>
      <c r="L540" s="122"/>
    </row>
    <row r="541" spans="2:12" ht="18.75" x14ac:dyDescent="0.3">
      <c r="B541" s="122"/>
      <c r="C541" s="130"/>
      <c r="D541" s="123"/>
      <c r="E541" s="123"/>
      <c r="F541" s="130"/>
      <c r="G541" s="117"/>
      <c r="H541" s="117"/>
      <c r="I541" s="117"/>
      <c r="J541" s="117"/>
      <c r="K541" s="117"/>
      <c r="L541" s="122"/>
    </row>
    <row r="542" spans="2:12" ht="18.75" x14ac:dyDescent="0.3">
      <c r="B542" s="122"/>
      <c r="C542" s="130"/>
      <c r="D542" s="123"/>
      <c r="E542" s="123"/>
      <c r="F542" s="130"/>
      <c r="G542" s="117"/>
      <c r="H542" s="117"/>
      <c r="I542" s="117"/>
      <c r="J542" s="117"/>
      <c r="K542" s="117"/>
      <c r="L542" s="122"/>
    </row>
    <row r="543" spans="2:12" ht="18.75" x14ac:dyDescent="0.3">
      <c r="B543" s="122"/>
      <c r="C543" s="130"/>
      <c r="D543" s="123"/>
      <c r="E543" s="123"/>
      <c r="F543" s="130"/>
      <c r="G543" s="117"/>
      <c r="H543" s="117"/>
      <c r="I543" s="117"/>
      <c r="J543" s="117"/>
      <c r="K543" s="117"/>
      <c r="L543" s="122"/>
    </row>
    <row r="544" spans="2:12" ht="18.75" x14ac:dyDescent="0.3">
      <c r="B544" s="122"/>
      <c r="C544" s="130"/>
      <c r="D544" s="123"/>
      <c r="E544" s="123"/>
      <c r="F544" s="130"/>
      <c r="G544" s="117"/>
      <c r="H544" s="117"/>
      <c r="I544" s="117"/>
      <c r="J544" s="117"/>
      <c r="K544" s="117"/>
      <c r="L544" s="122"/>
    </row>
    <row r="545" spans="2:12" ht="18.75" x14ac:dyDescent="0.3">
      <c r="B545" s="122"/>
      <c r="C545" s="130"/>
      <c r="D545" s="123"/>
      <c r="E545" s="123"/>
      <c r="F545" s="130"/>
      <c r="G545" s="117"/>
      <c r="H545" s="117"/>
      <c r="I545" s="117"/>
      <c r="J545" s="117"/>
      <c r="K545" s="117"/>
      <c r="L545" s="122"/>
    </row>
    <row r="546" spans="2:12" ht="18.75" x14ac:dyDescent="0.3">
      <c r="B546" s="125"/>
      <c r="C546" s="126"/>
      <c r="D546" s="126"/>
      <c r="E546" s="126"/>
      <c r="F546" s="126"/>
      <c r="G546" s="117"/>
      <c r="H546" s="117"/>
      <c r="I546" s="117"/>
      <c r="J546" s="117"/>
      <c r="K546" s="117"/>
      <c r="L546" s="125"/>
    </row>
    <row r="547" spans="2:12" ht="18.75" x14ac:dyDescent="0.3">
      <c r="B547" s="133"/>
      <c r="C547" s="117"/>
      <c r="D547" s="117"/>
      <c r="E547" s="117"/>
      <c r="F547" s="117"/>
      <c r="G547" s="117"/>
      <c r="H547" s="117"/>
      <c r="I547" s="117"/>
      <c r="J547" s="117"/>
      <c r="K547" s="117"/>
      <c r="L547" s="133"/>
    </row>
    <row r="548" spans="2:12" ht="18.75" x14ac:dyDescent="0.25">
      <c r="B548" s="127"/>
      <c r="C548" s="128"/>
      <c r="D548" s="128"/>
      <c r="E548" s="128"/>
      <c r="F548" s="128"/>
      <c r="G548" s="128"/>
      <c r="H548" s="128"/>
      <c r="I548" s="128"/>
      <c r="J548" s="128"/>
      <c r="K548" s="128"/>
      <c r="L548" s="127"/>
    </row>
    <row r="549" spans="2:12" ht="18.75" x14ac:dyDescent="0.3">
      <c r="B549" s="174"/>
      <c r="C549" s="139"/>
      <c r="D549" s="139"/>
      <c r="E549" s="139"/>
      <c r="F549" s="175"/>
      <c r="G549" s="140"/>
      <c r="H549" s="140"/>
      <c r="I549" s="140"/>
      <c r="J549" s="140"/>
      <c r="K549" s="140"/>
      <c r="L549" s="174"/>
    </row>
    <row r="550" spans="2:12" ht="18.75" x14ac:dyDescent="0.3">
      <c r="B550" s="174"/>
      <c r="C550" s="139"/>
      <c r="D550" s="139"/>
      <c r="E550" s="139"/>
      <c r="F550" s="175"/>
      <c r="G550" s="140"/>
      <c r="H550" s="140"/>
      <c r="I550" s="140"/>
      <c r="J550" s="140"/>
      <c r="K550" s="140"/>
      <c r="L550" s="174"/>
    </row>
    <row r="551" spans="2:12" ht="18.75" x14ac:dyDescent="0.3">
      <c r="B551" s="174"/>
      <c r="C551" s="139"/>
      <c r="D551" s="139"/>
      <c r="E551" s="139"/>
      <c r="F551" s="175"/>
      <c r="G551" s="140"/>
      <c r="H551" s="140"/>
      <c r="I551" s="140"/>
      <c r="J551" s="140"/>
      <c r="K551" s="140"/>
      <c r="L551" s="174"/>
    </row>
    <row r="552" spans="2:12" ht="18.75" x14ac:dyDescent="0.3">
      <c r="B552" s="174"/>
      <c r="C552" s="139"/>
      <c r="D552" s="139"/>
      <c r="E552" s="139"/>
      <c r="F552" s="175"/>
      <c r="G552" s="140"/>
      <c r="H552" s="140"/>
      <c r="I552" s="140"/>
      <c r="J552" s="140"/>
      <c r="K552" s="140"/>
      <c r="L552" s="174"/>
    </row>
    <row r="553" spans="2:12" ht="18.75" x14ac:dyDescent="0.3">
      <c r="B553" s="174"/>
      <c r="C553" s="139"/>
      <c r="D553" s="139"/>
      <c r="E553" s="139"/>
      <c r="F553" s="175"/>
      <c r="G553" s="140"/>
      <c r="H553" s="140"/>
      <c r="I553" s="140"/>
      <c r="J553" s="140"/>
      <c r="K553" s="140"/>
      <c r="L553" s="174"/>
    </row>
    <row r="554" spans="2:12" ht="18.75" x14ac:dyDescent="0.3">
      <c r="B554" s="174"/>
      <c r="C554" s="139"/>
      <c r="D554" s="139"/>
      <c r="E554" s="139"/>
      <c r="F554" s="175"/>
      <c r="G554" s="140"/>
      <c r="H554" s="140"/>
      <c r="I554" s="140"/>
      <c r="J554" s="140"/>
      <c r="K554" s="140"/>
      <c r="L554" s="174"/>
    </row>
    <row r="555" spans="2:12" ht="18.75" x14ac:dyDescent="0.3">
      <c r="B555" s="174"/>
      <c r="C555" s="139"/>
      <c r="D555" s="139"/>
      <c r="E555" s="139"/>
      <c r="F555" s="175"/>
      <c r="G555" s="140"/>
      <c r="H555" s="140"/>
      <c r="I555" s="140"/>
      <c r="J555" s="140"/>
      <c r="K555" s="140"/>
      <c r="L555" s="174"/>
    </row>
    <row r="556" spans="2:12" ht="18.75" x14ac:dyDescent="0.3">
      <c r="B556" s="174"/>
      <c r="C556" s="139"/>
      <c r="D556" s="139"/>
      <c r="E556" s="139"/>
      <c r="F556" s="175"/>
      <c r="G556" s="140"/>
      <c r="H556" s="140"/>
      <c r="I556" s="140"/>
      <c r="J556" s="140"/>
      <c r="K556" s="140"/>
      <c r="L556" s="174"/>
    </row>
    <row r="557" spans="2:12" ht="18.75" x14ac:dyDescent="0.3">
      <c r="B557" s="174"/>
      <c r="C557" s="139"/>
      <c r="D557" s="139"/>
      <c r="E557" s="139"/>
      <c r="F557" s="175"/>
      <c r="G557" s="140"/>
      <c r="H557" s="140"/>
      <c r="I557" s="140"/>
      <c r="J557" s="140"/>
      <c r="K557" s="140"/>
      <c r="L557" s="174"/>
    </row>
    <row r="558" spans="2:12" ht="18.75" x14ac:dyDescent="0.3">
      <c r="B558" s="174"/>
      <c r="C558" s="139"/>
      <c r="D558" s="139"/>
      <c r="E558" s="139"/>
      <c r="F558" s="175"/>
      <c r="G558" s="140"/>
      <c r="H558" s="140"/>
      <c r="I558" s="140"/>
      <c r="J558" s="140"/>
      <c r="K558" s="140"/>
      <c r="L558" s="174"/>
    </row>
    <row r="559" spans="2:12" ht="18.75" x14ac:dyDescent="0.3">
      <c r="B559" s="174"/>
      <c r="C559" s="139"/>
      <c r="D559" s="139"/>
      <c r="E559" s="139"/>
      <c r="F559" s="175"/>
      <c r="G559" s="140"/>
      <c r="H559" s="140"/>
      <c r="I559" s="140"/>
      <c r="J559" s="140"/>
      <c r="K559" s="140"/>
      <c r="L559" s="174"/>
    </row>
    <row r="560" spans="2:12" ht="18.75" x14ac:dyDescent="0.3">
      <c r="B560" s="174"/>
      <c r="C560" s="139"/>
      <c r="D560" s="139"/>
      <c r="E560" s="139"/>
      <c r="F560" s="175"/>
      <c r="G560" s="140"/>
      <c r="H560" s="140"/>
      <c r="I560" s="140"/>
      <c r="J560" s="140"/>
      <c r="K560" s="140"/>
      <c r="L560" s="174"/>
    </row>
    <row r="561" spans="2:12" ht="18.75" x14ac:dyDescent="0.3">
      <c r="B561" s="125"/>
      <c r="C561" s="126"/>
      <c r="D561" s="126"/>
      <c r="E561" s="126"/>
      <c r="F561" s="126"/>
      <c r="G561" s="117"/>
      <c r="H561" s="117"/>
      <c r="I561" s="117"/>
      <c r="J561" s="117"/>
      <c r="K561" s="117"/>
      <c r="L561" s="125"/>
    </row>
    <row r="562" spans="2:12" ht="18.75" x14ac:dyDescent="0.3">
      <c r="B562" s="133"/>
      <c r="C562" s="117"/>
      <c r="D562" s="117"/>
      <c r="E562" s="117"/>
      <c r="F562" s="117"/>
      <c r="G562" s="117"/>
      <c r="H562" s="117"/>
      <c r="I562" s="117"/>
      <c r="J562" s="117"/>
      <c r="K562" s="117"/>
      <c r="L562" s="133"/>
    </row>
    <row r="563" spans="2:12" ht="18.75" x14ac:dyDescent="0.25">
      <c r="B563" s="127"/>
      <c r="C563" s="128"/>
      <c r="D563" s="128"/>
      <c r="E563" s="128"/>
      <c r="F563" s="128"/>
      <c r="G563" s="128"/>
      <c r="H563" s="128"/>
      <c r="I563" s="128"/>
      <c r="J563" s="128"/>
      <c r="K563" s="128"/>
      <c r="L563" s="127"/>
    </row>
    <row r="564" spans="2:12" ht="18.75" x14ac:dyDescent="0.3">
      <c r="B564" s="122"/>
      <c r="C564" s="123"/>
      <c r="D564" s="123"/>
      <c r="E564" s="117"/>
      <c r="F564" s="123"/>
      <c r="G564" s="117"/>
      <c r="H564" s="117"/>
      <c r="I564" s="117"/>
      <c r="J564" s="117"/>
      <c r="K564" s="117"/>
      <c r="L564" s="122"/>
    </row>
    <row r="565" spans="2:12" ht="18.75" x14ac:dyDescent="0.3">
      <c r="B565" s="122"/>
      <c r="C565" s="123"/>
      <c r="D565" s="123"/>
      <c r="E565" s="117"/>
      <c r="F565" s="123"/>
      <c r="G565" s="117"/>
      <c r="H565" s="117"/>
      <c r="I565" s="117"/>
      <c r="J565" s="117"/>
      <c r="K565" s="117"/>
      <c r="L565" s="122"/>
    </row>
    <row r="566" spans="2:12" ht="18.75" x14ac:dyDescent="0.3">
      <c r="B566" s="122"/>
      <c r="C566" s="123"/>
      <c r="D566" s="123"/>
      <c r="E566" s="117"/>
      <c r="F566" s="123"/>
      <c r="G566" s="117"/>
      <c r="H566" s="117"/>
      <c r="I566" s="117"/>
      <c r="J566" s="117"/>
      <c r="K566" s="117"/>
      <c r="L566" s="122"/>
    </row>
    <row r="567" spans="2:12" ht="18.75" x14ac:dyDescent="0.3">
      <c r="B567" s="122"/>
      <c r="C567" s="123"/>
      <c r="D567" s="123"/>
      <c r="E567" s="117"/>
      <c r="F567" s="123"/>
      <c r="G567" s="117"/>
      <c r="H567" s="117"/>
      <c r="I567" s="117"/>
      <c r="J567" s="117"/>
      <c r="K567" s="117"/>
      <c r="L567" s="122"/>
    </row>
    <row r="568" spans="2:12" ht="18.75" x14ac:dyDescent="0.3">
      <c r="B568" s="122"/>
      <c r="C568" s="123"/>
      <c r="D568" s="123"/>
      <c r="E568" s="117"/>
      <c r="F568" s="123"/>
      <c r="G568" s="117"/>
      <c r="H568" s="117"/>
      <c r="I568" s="117"/>
      <c r="J568" s="117"/>
      <c r="K568" s="117"/>
      <c r="L568" s="122"/>
    </row>
    <row r="569" spans="2:12" ht="18.75" x14ac:dyDescent="0.3">
      <c r="B569" s="122"/>
      <c r="C569" s="123"/>
      <c r="D569" s="123"/>
      <c r="E569" s="117"/>
      <c r="F569" s="123"/>
      <c r="G569" s="117"/>
      <c r="H569" s="117"/>
      <c r="I569" s="117"/>
      <c r="J569" s="117"/>
      <c r="K569" s="117"/>
      <c r="L569" s="122"/>
    </row>
    <row r="570" spans="2:12" ht="18.75" x14ac:dyDescent="0.3">
      <c r="B570" s="122"/>
      <c r="C570" s="123"/>
      <c r="D570" s="123"/>
      <c r="E570" s="117"/>
      <c r="F570" s="123"/>
      <c r="G570" s="117"/>
      <c r="H570" s="117"/>
      <c r="I570" s="117"/>
      <c r="J570" s="117"/>
      <c r="K570" s="117"/>
      <c r="L570" s="122"/>
    </row>
    <row r="571" spans="2:12" ht="18.75" x14ac:dyDescent="0.3">
      <c r="B571" s="122"/>
      <c r="C571" s="123"/>
      <c r="D571" s="123"/>
      <c r="E571" s="117"/>
      <c r="F571" s="123"/>
      <c r="G571" s="117"/>
      <c r="H571" s="117"/>
      <c r="I571" s="117"/>
      <c r="J571" s="117"/>
      <c r="K571" s="117"/>
      <c r="L571" s="122"/>
    </row>
    <row r="572" spans="2:12" ht="18.75" x14ac:dyDescent="0.3">
      <c r="B572" s="122"/>
      <c r="C572" s="123"/>
      <c r="D572" s="123"/>
      <c r="E572" s="117"/>
      <c r="F572" s="123"/>
      <c r="G572" s="117"/>
      <c r="H572" s="117"/>
      <c r="I572" s="117"/>
      <c r="J572" s="117"/>
      <c r="K572" s="117"/>
      <c r="L572" s="122"/>
    </row>
    <row r="573" spans="2:12" ht="18.75" x14ac:dyDescent="0.3">
      <c r="B573" s="122"/>
      <c r="C573" s="123"/>
      <c r="D573" s="123"/>
      <c r="E573" s="117"/>
      <c r="F573" s="123"/>
      <c r="G573" s="117"/>
      <c r="H573" s="117"/>
      <c r="I573" s="117"/>
      <c r="J573" s="117"/>
      <c r="K573" s="117"/>
      <c r="L573" s="122"/>
    </row>
    <row r="574" spans="2:12" ht="18.75" x14ac:dyDescent="0.3">
      <c r="B574" s="122"/>
      <c r="C574" s="123"/>
      <c r="D574" s="123"/>
      <c r="E574" s="117"/>
      <c r="F574" s="123"/>
      <c r="G574" s="117"/>
      <c r="H574" s="117"/>
      <c r="I574" s="117"/>
      <c r="J574" s="117"/>
      <c r="K574" s="117"/>
      <c r="L574" s="122"/>
    </row>
    <row r="575" spans="2:12" ht="18.75" x14ac:dyDescent="0.3">
      <c r="B575" s="122"/>
      <c r="C575" s="123"/>
      <c r="D575" s="123"/>
      <c r="E575" s="117"/>
      <c r="F575" s="123"/>
      <c r="G575" s="117"/>
      <c r="H575" s="117"/>
      <c r="I575" s="117"/>
      <c r="J575" s="117"/>
      <c r="K575" s="117"/>
      <c r="L575" s="122"/>
    </row>
    <row r="576" spans="2:12" ht="18.75" x14ac:dyDescent="0.3">
      <c r="B576" s="125"/>
      <c r="C576" s="126"/>
      <c r="D576" s="126"/>
      <c r="E576" s="126"/>
      <c r="F576" s="126"/>
      <c r="G576" s="117"/>
      <c r="H576" s="117"/>
      <c r="I576" s="117"/>
      <c r="J576" s="117"/>
      <c r="K576" s="117"/>
      <c r="L576" s="125"/>
    </row>
    <row r="577" spans="2:12" ht="18.75" x14ac:dyDescent="0.3">
      <c r="B577" s="133"/>
      <c r="C577" s="117"/>
      <c r="D577" s="117"/>
      <c r="E577" s="117"/>
      <c r="F577" s="117"/>
      <c r="G577" s="117"/>
      <c r="H577" s="117"/>
      <c r="I577" s="117"/>
      <c r="J577" s="117"/>
      <c r="K577" s="117"/>
      <c r="L577" s="133"/>
    </row>
    <row r="578" spans="2:12" ht="18.75" x14ac:dyDescent="0.25">
      <c r="B578" s="127"/>
      <c r="C578" s="128"/>
      <c r="D578" s="128"/>
      <c r="E578" s="128"/>
      <c r="F578" s="128"/>
      <c r="G578" s="128"/>
      <c r="H578" s="128"/>
      <c r="I578" s="128"/>
      <c r="J578" s="128"/>
      <c r="K578" s="128"/>
      <c r="L578" s="127"/>
    </row>
    <row r="579" spans="2:12" ht="18.75" x14ac:dyDescent="0.3">
      <c r="B579" s="122"/>
      <c r="C579" s="123"/>
      <c r="D579" s="123"/>
      <c r="E579" s="123"/>
      <c r="F579" s="123"/>
      <c r="G579" s="117"/>
      <c r="H579" s="117"/>
      <c r="I579" s="117"/>
      <c r="J579" s="117"/>
      <c r="K579" s="117"/>
      <c r="L579" s="122"/>
    </row>
    <row r="580" spans="2:12" ht="18.75" x14ac:dyDescent="0.3">
      <c r="B580" s="122"/>
      <c r="C580" s="123"/>
      <c r="D580" s="123"/>
      <c r="E580" s="123"/>
      <c r="F580" s="123"/>
      <c r="G580" s="117"/>
      <c r="H580" s="117"/>
      <c r="I580" s="117"/>
      <c r="J580" s="117"/>
      <c r="K580" s="117"/>
      <c r="L580" s="122"/>
    </row>
    <row r="581" spans="2:12" ht="18.75" x14ac:dyDescent="0.3">
      <c r="B581" s="122"/>
      <c r="C581" s="123"/>
      <c r="D581" s="123"/>
      <c r="E581" s="123"/>
      <c r="F581" s="123"/>
      <c r="G581" s="117"/>
      <c r="H581" s="117"/>
      <c r="I581" s="117"/>
      <c r="J581" s="117"/>
      <c r="K581" s="117"/>
      <c r="L581" s="122"/>
    </row>
    <row r="582" spans="2:12" ht="18.75" x14ac:dyDescent="0.3">
      <c r="B582" s="122"/>
      <c r="C582" s="123"/>
      <c r="D582" s="123"/>
      <c r="E582" s="123"/>
      <c r="F582" s="123"/>
      <c r="G582" s="117"/>
      <c r="H582" s="117"/>
      <c r="I582" s="117"/>
      <c r="J582" s="117"/>
      <c r="K582" s="117"/>
      <c r="L582" s="122"/>
    </row>
    <row r="583" spans="2:12" ht="18.75" x14ac:dyDescent="0.3">
      <c r="B583" s="122"/>
      <c r="C583" s="123"/>
      <c r="D583" s="123"/>
      <c r="E583" s="123"/>
      <c r="F583" s="123"/>
      <c r="G583" s="117"/>
      <c r="H583" s="117"/>
      <c r="I583" s="117"/>
      <c r="J583" s="117"/>
      <c r="K583" s="117"/>
      <c r="L583" s="122"/>
    </row>
    <row r="584" spans="2:12" ht="18.75" x14ac:dyDescent="0.3">
      <c r="B584" s="122"/>
      <c r="C584" s="123"/>
      <c r="D584" s="123"/>
      <c r="E584" s="123"/>
      <c r="F584" s="123"/>
      <c r="G584" s="117"/>
      <c r="H584" s="117"/>
      <c r="I584" s="117"/>
      <c r="J584" s="117"/>
      <c r="K584" s="117"/>
      <c r="L584" s="122"/>
    </row>
    <row r="585" spans="2:12" ht="18.75" x14ac:dyDescent="0.3">
      <c r="B585" s="122"/>
      <c r="C585" s="123"/>
      <c r="D585" s="123"/>
      <c r="E585" s="123"/>
      <c r="F585" s="123"/>
      <c r="G585" s="117"/>
      <c r="H585" s="117"/>
      <c r="I585" s="117"/>
      <c r="J585" s="117"/>
      <c r="K585" s="117"/>
      <c r="L585" s="122"/>
    </row>
    <row r="586" spans="2:12" ht="18.75" x14ac:dyDescent="0.3">
      <c r="B586" s="122"/>
      <c r="C586" s="123"/>
      <c r="D586" s="123"/>
      <c r="E586" s="123"/>
      <c r="F586" s="123"/>
      <c r="G586" s="117"/>
      <c r="H586" s="117"/>
      <c r="I586" s="117"/>
      <c r="J586" s="117"/>
      <c r="K586" s="117"/>
      <c r="L586" s="122"/>
    </row>
    <row r="587" spans="2:12" ht="18.75" x14ac:dyDescent="0.3">
      <c r="B587" s="122"/>
      <c r="C587" s="123"/>
      <c r="D587" s="123"/>
      <c r="E587" s="123"/>
      <c r="F587" s="123"/>
      <c r="G587" s="117"/>
      <c r="H587" s="117"/>
      <c r="I587" s="117"/>
      <c r="J587" s="117"/>
      <c r="K587" s="117"/>
      <c r="L587" s="122"/>
    </row>
    <row r="588" spans="2:12" ht="18.75" x14ac:dyDescent="0.3">
      <c r="B588" s="122"/>
      <c r="C588" s="123"/>
      <c r="D588" s="123"/>
      <c r="E588" s="123"/>
      <c r="F588" s="123"/>
      <c r="G588" s="117"/>
      <c r="H588" s="117"/>
      <c r="I588" s="117"/>
      <c r="J588" s="117"/>
      <c r="K588" s="117"/>
      <c r="L588" s="122"/>
    </row>
    <row r="589" spans="2:12" ht="18.75" x14ac:dyDescent="0.3">
      <c r="B589" s="122"/>
      <c r="C589" s="123"/>
      <c r="D589" s="123"/>
      <c r="E589" s="123"/>
      <c r="F589" s="123"/>
      <c r="G589" s="117"/>
      <c r="H589" s="117"/>
      <c r="I589" s="117"/>
      <c r="J589" s="117"/>
      <c r="K589" s="117"/>
      <c r="L589" s="122"/>
    </row>
    <row r="590" spans="2:12" ht="18.75" x14ac:dyDescent="0.3">
      <c r="B590" s="122"/>
      <c r="C590" s="123"/>
      <c r="D590" s="123"/>
      <c r="E590" s="123"/>
      <c r="F590" s="123"/>
      <c r="G590" s="117"/>
      <c r="H590" s="117"/>
      <c r="I590" s="117"/>
      <c r="J590" s="117"/>
      <c r="K590" s="117"/>
      <c r="L590" s="122"/>
    </row>
    <row r="591" spans="2:12" ht="18.75" x14ac:dyDescent="0.3">
      <c r="B591" s="125"/>
      <c r="C591" s="126"/>
      <c r="D591" s="126"/>
      <c r="E591" s="126"/>
      <c r="F591" s="126"/>
      <c r="G591" s="117"/>
      <c r="H591" s="117"/>
      <c r="I591" s="117"/>
      <c r="J591" s="117"/>
      <c r="K591" s="117"/>
      <c r="L591" s="125"/>
    </row>
    <row r="592" spans="2:12" ht="18.75" x14ac:dyDescent="0.3">
      <c r="B592" s="133"/>
      <c r="C592" s="117"/>
      <c r="D592" s="117"/>
      <c r="E592" s="117"/>
      <c r="F592" s="117"/>
      <c r="G592" s="117"/>
      <c r="H592" s="117"/>
      <c r="I592" s="117"/>
      <c r="J592" s="117"/>
      <c r="K592" s="117"/>
      <c r="L592" s="133"/>
    </row>
    <row r="593" spans="2:12" ht="18.75" x14ac:dyDescent="0.3">
      <c r="B593" s="125"/>
      <c r="C593" s="126"/>
      <c r="D593" s="126"/>
      <c r="E593" s="126"/>
      <c r="F593" s="126"/>
      <c r="G593" s="117"/>
      <c r="H593" s="117"/>
      <c r="I593" s="117"/>
      <c r="J593" s="117"/>
      <c r="K593" s="117"/>
      <c r="L593" s="125"/>
    </row>
    <row r="594" spans="2:12" ht="18.75" x14ac:dyDescent="0.3">
      <c r="B594" s="133"/>
      <c r="C594" s="117"/>
      <c r="D594" s="117"/>
      <c r="E594" s="117"/>
      <c r="F594" s="117"/>
      <c r="G594" s="117"/>
      <c r="H594" s="117"/>
      <c r="I594" s="117"/>
      <c r="J594" s="117"/>
      <c r="K594" s="117"/>
      <c r="L594" s="133"/>
    </row>
    <row r="595" spans="2:12" ht="18.75" x14ac:dyDescent="0.3">
      <c r="B595" s="133"/>
      <c r="C595" s="117"/>
      <c r="D595" s="117"/>
      <c r="E595" s="117"/>
      <c r="F595" s="117"/>
      <c r="G595" s="117"/>
      <c r="H595" s="117"/>
      <c r="I595" s="117"/>
      <c r="J595" s="117"/>
      <c r="K595" s="117"/>
      <c r="L595" s="133"/>
    </row>
    <row r="596" spans="2:12" ht="18.75" x14ac:dyDescent="0.3">
      <c r="B596" s="133"/>
      <c r="C596" s="117"/>
      <c r="D596" s="117"/>
      <c r="E596" s="117"/>
      <c r="F596" s="117"/>
      <c r="G596" s="117"/>
      <c r="H596" s="117"/>
      <c r="I596" s="117"/>
      <c r="J596" s="117"/>
      <c r="K596" s="117"/>
      <c r="L596" s="133"/>
    </row>
    <row r="597" spans="2:12" ht="18.75" x14ac:dyDescent="0.3">
      <c r="B597" s="133"/>
      <c r="C597" s="117"/>
      <c r="D597" s="117"/>
      <c r="E597" s="117"/>
      <c r="F597" s="117"/>
      <c r="G597" s="117"/>
      <c r="H597" s="117"/>
      <c r="I597" s="117"/>
      <c r="J597" s="117"/>
      <c r="K597" s="117"/>
      <c r="L597" s="133"/>
    </row>
    <row r="598" spans="2:12" ht="18.75" x14ac:dyDescent="0.3">
      <c r="B598" s="133"/>
      <c r="C598" s="117"/>
      <c r="D598" s="117"/>
      <c r="E598" s="117"/>
      <c r="F598" s="117"/>
      <c r="G598" s="117"/>
      <c r="H598" s="117"/>
      <c r="I598" s="117"/>
      <c r="J598" s="117"/>
      <c r="K598" s="117"/>
      <c r="L598" s="133"/>
    </row>
    <row r="599" spans="2:12" ht="18.75" x14ac:dyDescent="0.3">
      <c r="B599" s="133"/>
      <c r="C599" s="117"/>
      <c r="D599" s="117"/>
      <c r="E599" s="117"/>
      <c r="F599" s="117"/>
      <c r="G599" s="117"/>
      <c r="H599" s="117"/>
      <c r="I599" s="117"/>
      <c r="J599" s="117"/>
      <c r="K599" s="117"/>
      <c r="L599" s="133"/>
    </row>
    <row r="600" spans="2:12" ht="18.75" x14ac:dyDescent="0.3">
      <c r="B600" s="133"/>
      <c r="C600" s="117"/>
      <c r="D600" s="117"/>
      <c r="E600" s="117"/>
      <c r="F600" s="117"/>
      <c r="G600" s="117"/>
      <c r="H600" s="117"/>
      <c r="I600" s="117"/>
      <c r="J600" s="117"/>
      <c r="K600" s="117"/>
      <c r="L600" s="133"/>
    </row>
    <row r="601" spans="2:12" ht="18.75" x14ac:dyDescent="0.3">
      <c r="B601" s="133"/>
      <c r="C601" s="117"/>
      <c r="D601" s="117"/>
      <c r="E601" s="117"/>
      <c r="F601" s="117"/>
      <c r="G601" s="117"/>
      <c r="H601" s="117"/>
      <c r="I601" s="117"/>
      <c r="J601" s="117"/>
      <c r="K601" s="117"/>
      <c r="L601" s="133"/>
    </row>
    <row r="602" spans="2:12" ht="18.75" x14ac:dyDescent="0.3">
      <c r="B602" s="133"/>
      <c r="C602" s="117"/>
      <c r="D602" s="117"/>
      <c r="E602" s="117"/>
      <c r="F602" s="117"/>
      <c r="G602" s="117"/>
      <c r="H602" s="117"/>
      <c r="I602" s="117"/>
      <c r="J602" s="117"/>
      <c r="K602" s="117"/>
      <c r="L602" s="133"/>
    </row>
    <row r="603" spans="2:12" ht="18.75" x14ac:dyDescent="0.3">
      <c r="B603" s="133"/>
      <c r="C603" s="117"/>
      <c r="D603" s="117"/>
      <c r="E603" s="117"/>
      <c r="F603" s="117"/>
      <c r="G603" s="117"/>
      <c r="H603" s="117"/>
      <c r="I603" s="117"/>
      <c r="J603" s="117"/>
      <c r="K603" s="117"/>
      <c r="L603" s="133"/>
    </row>
    <row r="604" spans="2:12" ht="18.75" x14ac:dyDescent="0.3">
      <c r="B604" s="133"/>
      <c r="C604" s="117"/>
      <c r="D604" s="117"/>
      <c r="E604" s="117"/>
      <c r="F604" s="117"/>
      <c r="G604" s="117"/>
      <c r="H604" s="117"/>
      <c r="I604" s="117"/>
      <c r="J604" s="117"/>
      <c r="K604" s="117"/>
      <c r="L604" s="133"/>
    </row>
    <row r="605" spans="2:12" ht="18.75" x14ac:dyDescent="0.3">
      <c r="B605" s="133"/>
      <c r="C605" s="117"/>
      <c r="D605" s="117"/>
      <c r="E605" s="117"/>
      <c r="F605" s="117"/>
      <c r="G605" s="117"/>
      <c r="H605" s="117"/>
      <c r="I605" s="117"/>
      <c r="J605" s="117"/>
      <c r="K605" s="117"/>
      <c r="L605" s="133"/>
    </row>
    <row r="606" spans="2:12" ht="18.75" x14ac:dyDescent="0.3">
      <c r="B606" s="133"/>
      <c r="C606" s="117"/>
      <c r="D606" s="117"/>
      <c r="E606" s="117"/>
      <c r="F606" s="117"/>
      <c r="G606" s="117"/>
      <c r="H606" s="117"/>
      <c r="I606" s="117"/>
      <c r="J606" s="117"/>
      <c r="K606" s="117"/>
      <c r="L606" s="133"/>
    </row>
    <row r="607" spans="2:12" ht="18.75" x14ac:dyDescent="0.3">
      <c r="B607" s="133"/>
      <c r="C607" s="117"/>
      <c r="D607" s="117"/>
      <c r="E607" s="117"/>
      <c r="F607" s="117"/>
      <c r="G607" s="117"/>
      <c r="H607" s="117"/>
      <c r="I607" s="117"/>
      <c r="J607" s="117"/>
      <c r="K607" s="117"/>
      <c r="L607" s="133"/>
    </row>
    <row r="608" spans="2:12" ht="18.75" x14ac:dyDescent="0.3">
      <c r="B608" s="133"/>
      <c r="C608" s="117"/>
      <c r="D608" s="117"/>
      <c r="E608" s="117"/>
      <c r="F608" s="117"/>
      <c r="G608" s="117"/>
      <c r="H608" s="117"/>
      <c r="I608" s="117"/>
      <c r="J608" s="117"/>
      <c r="K608" s="117"/>
      <c r="L608" s="133"/>
    </row>
    <row r="609" spans="2:12" ht="18.75" x14ac:dyDescent="0.3">
      <c r="B609" s="133"/>
      <c r="C609" s="117"/>
      <c r="D609" s="117"/>
      <c r="E609" s="117"/>
      <c r="F609" s="117"/>
      <c r="G609" s="117"/>
      <c r="H609" s="117"/>
      <c r="I609" s="117"/>
      <c r="J609" s="117"/>
      <c r="K609" s="117"/>
      <c r="L609" s="133"/>
    </row>
    <row r="610" spans="2:12" ht="18.75" x14ac:dyDescent="0.3">
      <c r="B610" s="133"/>
      <c r="C610" s="117"/>
      <c r="D610" s="117"/>
      <c r="E610" s="117"/>
      <c r="F610" s="117"/>
      <c r="G610" s="117"/>
      <c r="H610" s="117"/>
      <c r="I610" s="117"/>
      <c r="J610" s="117"/>
      <c r="K610" s="117"/>
      <c r="L610" s="133"/>
    </row>
    <row r="611" spans="2:12" ht="18.75" x14ac:dyDescent="0.3">
      <c r="B611" s="133"/>
      <c r="C611" s="117"/>
      <c r="D611" s="117"/>
      <c r="E611" s="117"/>
      <c r="F611" s="117"/>
      <c r="G611" s="117"/>
      <c r="H611" s="117"/>
      <c r="I611" s="117"/>
      <c r="J611" s="117"/>
      <c r="K611" s="117"/>
      <c r="L611" s="133"/>
    </row>
    <row r="612" spans="2:12" ht="18.75" x14ac:dyDescent="0.3">
      <c r="B612" s="133"/>
      <c r="C612" s="117"/>
      <c r="D612" s="117"/>
      <c r="E612" s="117"/>
      <c r="F612" s="117"/>
      <c r="G612" s="117"/>
      <c r="H612" s="117"/>
      <c r="I612" s="117"/>
      <c r="J612" s="117"/>
      <c r="K612" s="117"/>
      <c r="L612" s="133"/>
    </row>
    <row r="613" spans="2:12" ht="18.75" x14ac:dyDescent="0.3">
      <c r="B613" s="133"/>
      <c r="C613" s="117"/>
      <c r="D613" s="117"/>
      <c r="E613" s="117"/>
      <c r="F613" s="117"/>
      <c r="G613" s="117"/>
      <c r="H613" s="117"/>
      <c r="I613" s="117"/>
      <c r="J613" s="117"/>
      <c r="K613" s="117"/>
      <c r="L613" s="133"/>
    </row>
    <row r="614" spans="2:12" ht="18.75" x14ac:dyDescent="0.3">
      <c r="B614" s="133"/>
      <c r="C614" s="117"/>
      <c r="D614" s="117"/>
      <c r="E614" s="117"/>
      <c r="F614" s="117"/>
      <c r="G614" s="117"/>
      <c r="H614" s="117"/>
      <c r="I614" s="117"/>
      <c r="J614" s="117"/>
      <c r="K614" s="117"/>
      <c r="L614" s="133"/>
    </row>
    <row r="615" spans="2:12" ht="18.75" x14ac:dyDescent="0.3">
      <c r="B615" s="133"/>
      <c r="C615" s="117"/>
      <c r="D615" s="117"/>
      <c r="E615" s="117"/>
      <c r="F615" s="117"/>
      <c r="G615" s="117"/>
      <c r="H615" s="117"/>
      <c r="I615" s="117"/>
      <c r="J615" s="117"/>
      <c r="K615" s="117"/>
      <c r="L615" s="133"/>
    </row>
    <row r="616" spans="2:12" ht="18.75" x14ac:dyDescent="0.3">
      <c r="B616" s="133"/>
      <c r="C616" s="117"/>
      <c r="D616" s="117"/>
      <c r="E616" s="117"/>
      <c r="F616" s="117"/>
      <c r="G616" s="117"/>
      <c r="H616" s="117"/>
      <c r="I616" s="117"/>
      <c r="J616" s="117"/>
      <c r="K616" s="117"/>
      <c r="L616" s="133"/>
    </row>
    <row r="617" spans="2:12" ht="18.75" x14ac:dyDescent="0.3">
      <c r="B617" s="133"/>
      <c r="C617" s="117"/>
      <c r="D617" s="117"/>
      <c r="E617" s="117"/>
      <c r="F617" s="117"/>
      <c r="G617" s="117"/>
      <c r="H617" s="117"/>
      <c r="I617" s="117"/>
      <c r="J617" s="117"/>
      <c r="K617" s="117"/>
      <c r="L617" s="133"/>
    </row>
    <row r="618" spans="2:12" ht="18.75" x14ac:dyDescent="0.3">
      <c r="B618" s="133"/>
      <c r="C618" s="117"/>
      <c r="D618" s="117"/>
      <c r="E618" s="117"/>
      <c r="F618" s="117"/>
      <c r="G618" s="117"/>
      <c r="H618" s="117"/>
      <c r="I618" s="117"/>
      <c r="J618" s="117"/>
      <c r="K618" s="117"/>
      <c r="L618" s="133"/>
    </row>
    <row r="619" spans="2:12" ht="18.75" x14ac:dyDescent="0.3">
      <c r="B619" s="133"/>
      <c r="C619" s="117"/>
      <c r="D619" s="117"/>
      <c r="E619" s="117"/>
      <c r="F619" s="117"/>
      <c r="G619" s="117"/>
      <c r="H619" s="117"/>
      <c r="I619" s="117"/>
      <c r="J619" s="117"/>
      <c r="K619" s="117"/>
      <c r="L619" s="133"/>
    </row>
    <row r="620" spans="2:12" ht="18.75" x14ac:dyDescent="0.3">
      <c r="B620" s="133"/>
      <c r="C620" s="117"/>
      <c r="D620" s="117"/>
      <c r="E620" s="117"/>
      <c r="F620" s="117"/>
      <c r="G620" s="117"/>
      <c r="H620" s="117"/>
      <c r="I620" s="117"/>
      <c r="J620" s="117"/>
      <c r="K620" s="117"/>
      <c r="L620" s="133"/>
    </row>
    <row r="621" spans="2:12" ht="18.75" x14ac:dyDescent="0.3">
      <c r="B621" s="133"/>
      <c r="C621" s="117"/>
      <c r="D621" s="117"/>
      <c r="E621" s="117"/>
      <c r="F621" s="117"/>
      <c r="G621" s="117"/>
      <c r="H621" s="117"/>
      <c r="I621" s="117"/>
      <c r="J621" s="117"/>
      <c r="K621" s="117"/>
      <c r="L621" s="133"/>
    </row>
    <row r="622" spans="2:12" ht="18.75" x14ac:dyDescent="0.3">
      <c r="B622" s="133"/>
      <c r="C622" s="117"/>
      <c r="D622" s="117"/>
      <c r="E622" s="117"/>
      <c r="F622" s="117"/>
      <c r="G622" s="117"/>
      <c r="H622" s="117"/>
      <c r="I622" s="117"/>
      <c r="J622" s="117"/>
      <c r="K622" s="117"/>
      <c r="L622" s="133"/>
    </row>
    <row r="623" spans="2:12" ht="18.75" x14ac:dyDescent="0.3">
      <c r="B623" s="133"/>
      <c r="C623" s="117"/>
      <c r="D623" s="117"/>
      <c r="E623" s="117"/>
      <c r="F623" s="117"/>
      <c r="G623" s="117"/>
      <c r="H623" s="117"/>
      <c r="I623" s="117"/>
      <c r="J623" s="117"/>
      <c r="K623" s="117"/>
      <c r="L623" s="133"/>
    </row>
    <row r="624" spans="2:12" ht="18.75" x14ac:dyDescent="0.3">
      <c r="B624" s="133"/>
      <c r="C624" s="117"/>
      <c r="D624" s="117"/>
      <c r="E624" s="117"/>
      <c r="F624" s="117"/>
      <c r="G624" s="117"/>
      <c r="H624" s="117"/>
      <c r="I624" s="117"/>
      <c r="J624" s="117"/>
      <c r="K624" s="117"/>
      <c r="L624" s="133"/>
    </row>
    <row r="625" spans="2:12" ht="18.75" x14ac:dyDescent="0.3">
      <c r="B625" s="133"/>
      <c r="C625" s="117"/>
      <c r="D625" s="117"/>
      <c r="E625" s="117"/>
      <c r="F625" s="117"/>
      <c r="G625" s="117"/>
      <c r="H625" s="117"/>
      <c r="I625" s="117"/>
      <c r="J625" s="117"/>
      <c r="K625" s="117"/>
      <c r="L625" s="133"/>
    </row>
    <row r="626" spans="2:12" ht="18.75" x14ac:dyDescent="0.3">
      <c r="B626" s="133"/>
      <c r="C626" s="117"/>
      <c r="D626" s="117"/>
      <c r="E626" s="117"/>
      <c r="F626" s="117"/>
      <c r="G626" s="117"/>
      <c r="H626" s="117"/>
      <c r="I626" s="117"/>
      <c r="J626" s="117"/>
      <c r="K626" s="117"/>
      <c r="L626" s="133"/>
    </row>
    <row r="627" spans="2:12" ht="18.75" x14ac:dyDescent="0.3">
      <c r="B627" s="133"/>
      <c r="C627" s="117"/>
      <c r="D627" s="117"/>
      <c r="E627" s="117"/>
      <c r="F627" s="117"/>
      <c r="G627" s="117"/>
      <c r="H627" s="117"/>
      <c r="I627" s="117"/>
      <c r="J627" s="117"/>
      <c r="K627" s="117"/>
      <c r="L627" s="133"/>
    </row>
    <row r="628" spans="2:12" ht="18.75" x14ac:dyDescent="0.3">
      <c r="B628" s="133"/>
      <c r="C628" s="117"/>
      <c r="D628" s="117"/>
      <c r="E628" s="117"/>
      <c r="F628" s="117"/>
      <c r="G628" s="117"/>
      <c r="H628" s="117"/>
      <c r="I628" s="117"/>
      <c r="J628" s="117"/>
      <c r="K628" s="117"/>
      <c r="L628" s="133"/>
    </row>
    <row r="629" spans="2:12" ht="18.75" x14ac:dyDescent="0.3">
      <c r="B629" s="133"/>
      <c r="C629" s="117"/>
      <c r="D629" s="117"/>
      <c r="E629" s="117"/>
      <c r="F629" s="117"/>
      <c r="G629" s="117"/>
      <c r="H629" s="117"/>
      <c r="I629" s="117"/>
      <c r="J629" s="117"/>
      <c r="K629" s="117"/>
      <c r="L629" s="133"/>
    </row>
    <row r="630" spans="2:12" ht="18.75" x14ac:dyDescent="0.3">
      <c r="B630" s="133"/>
      <c r="C630" s="117"/>
      <c r="D630" s="117"/>
      <c r="E630" s="117"/>
      <c r="F630" s="117"/>
      <c r="G630" s="117"/>
      <c r="H630" s="117"/>
      <c r="I630" s="117"/>
      <c r="J630" s="117"/>
      <c r="K630" s="117"/>
      <c r="L630" s="133"/>
    </row>
    <row r="631" spans="2:12" ht="18.75" x14ac:dyDescent="0.3">
      <c r="B631" s="133"/>
      <c r="C631" s="117"/>
      <c r="D631" s="117"/>
      <c r="E631" s="117"/>
      <c r="F631" s="117"/>
      <c r="G631" s="117"/>
      <c r="H631" s="117"/>
      <c r="I631" s="117"/>
      <c r="J631" s="117"/>
      <c r="K631" s="117"/>
      <c r="L631" s="133"/>
    </row>
    <row r="632" spans="2:12" ht="18.75" x14ac:dyDescent="0.3">
      <c r="B632" s="133"/>
      <c r="C632" s="117"/>
      <c r="D632" s="117"/>
      <c r="E632" s="117"/>
      <c r="F632" s="117"/>
      <c r="G632" s="117"/>
      <c r="H632" s="117"/>
      <c r="I632" s="117"/>
      <c r="J632" s="117"/>
      <c r="K632" s="117"/>
      <c r="L632" s="133"/>
    </row>
    <row r="633" spans="2:12" ht="18.75" x14ac:dyDescent="0.3">
      <c r="B633" s="133"/>
      <c r="C633" s="117"/>
      <c r="D633" s="117"/>
      <c r="E633" s="117"/>
      <c r="F633" s="117"/>
      <c r="G633" s="117"/>
      <c r="H633" s="117"/>
      <c r="I633" s="117"/>
      <c r="J633" s="117"/>
      <c r="K633" s="117"/>
      <c r="L633" s="133"/>
    </row>
    <row r="634" spans="2:12" ht="18.75" x14ac:dyDescent="0.3">
      <c r="B634" s="133"/>
      <c r="C634" s="117"/>
      <c r="D634" s="117"/>
      <c r="E634" s="117"/>
      <c r="F634" s="117"/>
      <c r="G634" s="117"/>
      <c r="H634" s="117"/>
      <c r="I634" s="117"/>
      <c r="J634" s="117"/>
      <c r="K634" s="117"/>
      <c r="L634" s="133"/>
    </row>
    <row r="635" spans="2:12" ht="18.75" x14ac:dyDescent="0.3">
      <c r="B635" s="133"/>
      <c r="C635" s="117"/>
      <c r="D635" s="117"/>
      <c r="E635" s="117"/>
      <c r="F635" s="117"/>
      <c r="G635" s="117"/>
      <c r="H635" s="117"/>
      <c r="I635" s="117"/>
      <c r="J635" s="117"/>
      <c r="K635" s="117"/>
      <c r="L635" s="133"/>
    </row>
    <row r="636" spans="2:12" ht="18.75" x14ac:dyDescent="0.3">
      <c r="B636" s="133"/>
      <c r="C636" s="117"/>
      <c r="D636" s="117"/>
      <c r="E636" s="117"/>
      <c r="F636" s="117"/>
      <c r="G636" s="117"/>
      <c r="H636" s="117"/>
      <c r="I636" s="117"/>
      <c r="J636" s="117"/>
      <c r="K636" s="117"/>
      <c r="L636" s="133"/>
    </row>
    <row r="637" spans="2:12" ht="18.75" x14ac:dyDescent="0.3">
      <c r="B637" s="133"/>
      <c r="C637" s="117"/>
      <c r="D637" s="117"/>
      <c r="E637" s="117"/>
      <c r="F637" s="117"/>
      <c r="G637" s="117"/>
      <c r="H637" s="117"/>
      <c r="I637" s="117"/>
      <c r="J637" s="117"/>
      <c r="K637" s="117"/>
      <c r="L637" s="133"/>
    </row>
    <row r="638" spans="2:12" ht="18.75" x14ac:dyDescent="0.3">
      <c r="B638" s="133"/>
      <c r="C638" s="117"/>
      <c r="D638" s="117"/>
      <c r="E638" s="117"/>
      <c r="F638" s="117"/>
      <c r="G638" s="117"/>
      <c r="H638" s="117"/>
      <c r="I638" s="117"/>
      <c r="J638" s="117"/>
      <c r="K638" s="117"/>
      <c r="L638" s="133"/>
    </row>
    <row r="639" spans="2:12" ht="18.75" x14ac:dyDescent="0.3">
      <c r="B639" s="133"/>
      <c r="C639" s="117"/>
      <c r="D639" s="117"/>
      <c r="E639" s="117"/>
      <c r="F639" s="117"/>
      <c r="G639" s="117"/>
      <c r="H639" s="117"/>
      <c r="I639" s="117"/>
      <c r="J639" s="117"/>
      <c r="K639" s="117"/>
      <c r="L639" s="133"/>
    </row>
    <row r="640" spans="2:12" ht="18.75" x14ac:dyDescent="0.3">
      <c r="B640" s="133"/>
      <c r="C640" s="117"/>
      <c r="D640" s="117"/>
      <c r="E640" s="117"/>
      <c r="F640" s="117"/>
      <c r="G640" s="117"/>
      <c r="H640" s="117"/>
      <c r="I640" s="117"/>
      <c r="J640" s="117"/>
      <c r="K640" s="117"/>
      <c r="L640" s="133"/>
    </row>
    <row r="641" spans="2:12" ht="18.75" x14ac:dyDescent="0.3">
      <c r="B641" s="133"/>
      <c r="C641" s="117"/>
      <c r="D641" s="117"/>
      <c r="E641" s="117"/>
      <c r="F641" s="117"/>
      <c r="G641" s="117"/>
      <c r="H641" s="117"/>
      <c r="I641" s="117"/>
      <c r="J641" s="117"/>
      <c r="K641" s="117"/>
      <c r="L641" s="133"/>
    </row>
    <row r="642" spans="2:12" ht="18.75" x14ac:dyDescent="0.3">
      <c r="B642" s="133"/>
      <c r="C642" s="117"/>
      <c r="D642" s="117"/>
      <c r="E642" s="117"/>
      <c r="F642" s="117"/>
      <c r="G642" s="117"/>
      <c r="H642" s="117"/>
      <c r="I642" s="117"/>
      <c r="J642" s="117"/>
      <c r="K642" s="117"/>
      <c r="L642" s="133"/>
    </row>
    <row r="643" spans="2:12" ht="18.75" x14ac:dyDescent="0.3">
      <c r="B643" s="133"/>
      <c r="C643" s="117"/>
      <c r="D643" s="117"/>
      <c r="E643" s="117"/>
      <c r="F643" s="117"/>
      <c r="G643" s="117"/>
      <c r="H643" s="117"/>
      <c r="I643" s="117"/>
      <c r="J643" s="117"/>
      <c r="K643" s="117"/>
      <c r="L643" s="133"/>
    </row>
    <row r="644" spans="2:12" ht="18.75" x14ac:dyDescent="0.3">
      <c r="B644" s="133"/>
      <c r="C644" s="117"/>
      <c r="D644" s="117"/>
      <c r="E644" s="117"/>
      <c r="F644" s="117"/>
      <c r="G644" s="117"/>
      <c r="H644" s="117"/>
      <c r="I644" s="117"/>
      <c r="J644" s="117"/>
      <c r="K644" s="117"/>
      <c r="L644" s="133"/>
    </row>
    <row r="645" spans="2:12" ht="18.75" x14ac:dyDescent="0.3">
      <c r="B645" s="133"/>
      <c r="C645" s="117"/>
      <c r="D645" s="117"/>
      <c r="E645" s="117"/>
      <c r="F645" s="117"/>
      <c r="G645" s="117"/>
      <c r="H645" s="117"/>
      <c r="I645" s="117"/>
      <c r="J645" s="117"/>
      <c r="K645" s="117"/>
      <c r="L645" s="133"/>
    </row>
    <row r="646" spans="2:12" ht="18.75" x14ac:dyDescent="0.3">
      <c r="B646" s="133"/>
      <c r="C646" s="117"/>
      <c r="D646" s="117"/>
      <c r="E646" s="117"/>
      <c r="F646" s="117"/>
      <c r="G646" s="117"/>
      <c r="H646" s="117"/>
      <c r="I646" s="117"/>
      <c r="J646" s="117"/>
      <c r="K646" s="117"/>
      <c r="L646" s="133"/>
    </row>
    <row r="647" spans="2:12" ht="18.75" x14ac:dyDescent="0.3">
      <c r="B647" s="133"/>
      <c r="C647" s="117"/>
      <c r="D647" s="117"/>
      <c r="E647" s="117"/>
      <c r="F647" s="117"/>
      <c r="G647" s="117"/>
      <c r="H647" s="117"/>
      <c r="I647" s="117"/>
      <c r="J647" s="117"/>
      <c r="K647" s="117"/>
      <c r="L647" s="133"/>
    </row>
    <row r="648" spans="2:12" ht="18.75" x14ac:dyDescent="0.3">
      <c r="B648" s="133"/>
      <c r="C648" s="117"/>
      <c r="D648" s="117"/>
      <c r="E648" s="117"/>
      <c r="F648" s="117"/>
      <c r="G648" s="117"/>
      <c r="H648" s="117"/>
      <c r="I648" s="117"/>
      <c r="J648" s="117"/>
      <c r="K648" s="117"/>
      <c r="L648" s="133"/>
    </row>
    <row r="649" spans="2:12" ht="18.75" x14ac:dyDescent="0.3">
      <c r="B649" s="133"/>
      <c r="C649" s="117"/>
      <c r="D649" s="117"/>
      <c r="E649" s="117"/>
      <c r="F649" s="117"/>
      <c r="G649" s="117"/>
      <c r="H649" s="117"/>
      <c r="I649" s="117"/>
      <c r="J649" s="117"/>
      <c r="K649" s="117"/>
      <c r="L649" s="133"/>
    </row>
    <row r="650" spans="2:12" ht="18.75" x14ac:dyDescent="0.3">
      <c r="B650" s="133"/>
      <c r="C650" s="117"/>
      <c r="D650" s="117"/>
      <c r="E650" s="117"/>
      <c r="F650" s="117"/>
      <c r="G650" s="117"/>
      <c r="H650" s="117"/>
      <c r="I650" s="117"/>
      <c r="J650" s="117"/>
      <c r="K650" s="117"/>
      <c r="L650" s="133"/>
    </row>
    <row r="651" spans="2:12" ht="18.75" x14ac:dyDescent="0.3">
      <c r="B651" s="133"/>
      <c r="C651" s="117"/>
      <c r="D651" s="117"/>
      <c r="E651" s="117"/>
      <c r="F651" s="117"/>
      <c r="G651" s="117"/>
      <c r="H651" s="117"/>
      <c r="I651" s="117"/>
      <c r="J651" s="117"/>
      <c r="K651" s="117"/>
      <c r="L651" s="133"/>
    </row>
    <row r="652" spans="2:12" ht="18.75" x14ac:dyDescent="0.3">
      <c r="B652" s="133"/>
      <c r="C652" s="117"/>
      <c r="D652" s="117"/>
      <c r="E652" s="117"/>
      <c r="F652" s="117"/>
      <c r="G652" s="117"/>
      <c r="H652" s="117"/>
      <c r="I652" s="117"/>
      <c r="J652" s="117"/>
      <c r="K652" s="117"/>
      <c r="L652" s="133"/>
    </row>
    <row r="653" spans="2:12" ht="18.75" x14ac:dyDescent="0.3">
      <c r="B653" s="133"/>
      <c r="C653" s="117"/>
      <c r="D653" s="117"/>
      <c r="E653" s="117"/>
      <c r="F653" s="117"/>
      <c r="G653" s="117"/>
      <c r="H653" s="117"/>
      <c r="I653" s="117"/>
      <c r="J653" s="117"/>
      <c r="K653" s="117"/>
      <c r="L653" s="133"/>
    </row>
    <row r="654" spans="2:12" ht="18.75" x14ac:dyDescent="0.3">
      <c r="B654" s="133"/>
      <c r="C654" s="117"/>
      <c r="D654" s="117"/>
      <c r="E654" s="117"/>
      <c r="F654" s="117"/>
      <c r="G654" s="117"/>
      <c r="H654" s="117"/>
      <c r="I654" s="117"/>
      <c r="J654" s="117"/>
      <c r="K654" s="117"/>
      <c r="L654" s="133"/>
    </row>
    <row r="655" spans="2:12" ht="18.75" x14ac:dyDescent="0.3">
      <c r="B655" s="133"/>
      <c r="C655" s="117"/>
      <c r="D655" s="117"/>
      <c r="E655" s="117"/>
      <c r="F655" s="117"/>
      <c r="G655" s="117"/>
      <c r="H655" s="117"/>
      <c r="I655" s="117"/>
      <c r="J655" s="117"/>
      <c r="K655" s="117"/>
      <c r="L655" s="133"/>
    </row>
    <row r="656" spans="2:12" ht="18.75" x14ac:dyDescent="0.3">
      <c r="B656" s="133"/>
      <c r="C656" s="117"/>
      <c r="D656" s="117"/>
      <c r="E656" s="117"/>
      <c r="F656" s="117"/>
      <c r="G656" s="117"/>
      <c r="H656" s="117"/>
      <c r="I656" s="117"/>
      <c r="J656" s="117"/>
      <c r="K656" s="117"/>
      <c r="L656" s="133"/>
    </row>
    <row r="657" spans="2:12" ht="18.75" x14ac:dyDescent="0.3">
      <c r="B657" s="133"/>
      <c r="C657" s="117"/>
      <c r="D657" s="117"/>
      <c r="E657" s="117"/>
      <c r="F657" s="117"/>
      <c r="G657" s="117"/>
      <c r="H657" s="117"/>
      <c r="I657" s="117"/>
      <c r="J657" s="117"/>
      <c r="K657" s="117"/>
      <c r="L657" s="133"/>
    </row>
    <row r="658" spans="2:12" ht="18.75" x14ac:dyDescent="0.3">
      <c r="B658" s="133"/>
      <c r="C658" s="117"/>
      <c r="D658" s="117"/>
      <c r="E658" s="117"/>
      <c r="F658" s="117"/>
      <c r="G658" s="117"/>
      <c r="H658" s="117"/>
      <c r="I658" s="117"/>
      <c r="J658" s="117"/>
      <c r="K658" s="117"/>
      <c r="L658" s="133"/>
    </row>
    <row r="659" spans="2:12" ht="18.75" x14ac:dyDescent="0.3">
      <c r="B659" s="133"/>
      <c r="C659" s="117"/>
      <c r="D659" s="117"/>
      <c r="E659" s="117"/>
      <c r="F659" s="117"/>
      <c r="G659" s="117"/>
      <c r="H659" s="117"/>
      <c r="I659" s="117"/>
      <c r="J659" s="117"/>
      <c r="K659" s="117"/>
      <c r="L659" s="133"/>
    </row>
    <row r="660" spans="2:12" ht="18.75" x14ac:dyDescent="0.3">
      <c r="B660" s="133"/>
      <c r="C660" s="117"/>
      <c r="D660" s="117"/>
      <c r="E660" s="117"/>
      <c r="F660" s="117"/>
      <c r="G660" s="117"/>
      <c r="H660" s="117"/>
      <c r="I660" s="117"/>
      <c r="J660" s="117"/>
      <c r="K660" s="117"/>
      <c r="L660" s="133"/>
    </row>
    <row r="661" spans="2:12" ht="18.75" x14ac:dyDescent="0.3">
      <c r="B661" s="133"/>
      <c r="C661" s="117"/>
      <c r="D661" s="117"/>
      <c r="E661" s="117"/>
      <c r="F661" s="117"/>
      <c r="G661" s="117"/>
      <c r="H661" s="117"/>
      <c r="I661" s="117"/>
      <c r="J661" s="117"/>
      <c r="K661" s="117"/>
      <c r="L661" s="133"/>
    </row>
    <row r="662" spans="2:12" ht="18.75" x14ac:dyDescent="0.3">
      <c r="B662" s="133"/>
      <c r="C662" s="117"/>
      <c r="D662" s="117"/>
      <c r="E662" s="117"/>
      <c r="F662" s="117"/>
      <c r="G662" s="117"/>
      <c r="H662" s="117"/>
      <c r="I662" s="117"/>
      <c r="J662" s="117"/>
      <c r="K662" s="117"/>
      <c r="L662" s="133"/>
    </row>
    <row r="663" spans="2:12" ht="18.75" x14ac:dyDescent="0.3">
      <c r="B663" s="133"/>
      <c r="C663" s="117"/>
      <c r="D663" s="117"/>
      <c r="E663" s="117"/>
      <c r="F663" s="117"/>
      <c r="G663" s="117"/>
      <c r="H663" s="117"/>
      <c r="I663" s="117"/>
      <c r="J663" s="117"/>
      <c r="K663" s="117"/>
      <c r="L663" s="133"/>
    </row>
    <row r="664" spans="2:12" ht="18.75" x14ac:dyDescent="0.3">
      <c r="B664" s="133"/>
      <c r="C664" s="117"/>
      <c r="D664" s="117"/>
      <c r="E664" s="117"/>
      <c r="F664" s="117"/>
      <c r="G664" s="117"/>
      <c r="H664" s="117"/>
      <c r="I664" s="117"/>
      <c r="J664" s="117"/>
      <c r="K664" s="117"/>
      <c r="L664" s="133"/>
    </row>
    <row r="665" spans="2:12" ht="18.75" x14ac:dyDescent="0.3">
      <c r="B665" s="133"/>
      <c r="C665" s="117"/>
      <c r="D665" s="117"/>
      <c r="E665" s="117"/>
      <c r="F665" s="117"/>
      <c r="G665" s="117"/>
      <c r="H665" s="117"/>
      <c r="I665" s="117"/>
      <c r="J665" s="117"/>
      <c r="K665" s="117"/>
      <c r="L665" s="133"/>
    </row>
    <row r="666" spans="2:12" ht="18.75" x14ac:dyDescent="0.3">
      <c r="B666" s="133"/>
      <c r="C666" s="117"/>
      <c r="D666" s="117"/>
      <c r="E666" s="117"/>
      <c r="F666" s="117"/>
      <c r="G666" s="117"/>
      <c r="H666" s="117"/>
      <c r="I666" s="117"/>
      <c r="J666" s="117"/>
      <c r="K666" s="117"/>
      <c r="L666" s="133"/>
    </row>
    <row r="667" spans="2:12" ht="18.75" x14ac:dyDescent="0.3">
      <c r="B667" s="133"/>
      <c r="C667" s="117"/>
      <c r="D667" s="117"/>
      <c r="E667" s="117"/>
      <c r="F667" s="117"/>
      <c r="G667" s="117"/>
      <c r="H667" s="117"/>
      <c r="I667" s="117"/>
      <c r="J667" s="117"/>
      <c r="K667" s="117"/>
      <c r="L667" s="133"/>
    </row>
    <row r="668" spans="2:12" ht="18.75" x14ac:dyDescent="0.3">
      <c r="B668" s="133"/>
      <c r="C668" s="117"/>
      <c r="D668" s="117"/>
      <c r="E668" s="117"/>
      <c r="F668" s="117"/>
      <c r="G668" s="117"/>
      <c r="H668" s="117"/>
      <c r="I668" s="117"/>
      <c r="J668" s="117"/>
      <c r="K668" s="117"/>
      <c r="L668" s="133"/>
    </row>
    <row r="669" spans="2:12" ht="18.75" x14ac:dyDescent="0.3">
      <c r="B669" s="133"/>
      <c r="C669" s="117"/>
      <c r="D669" s="117"/>
      <c r="E669" s="117"/>
      <c r="F669" s="117"/>
      <c r="G669" s="117"/>
      <c r="H669" s="117"/>
      <c r="I669" s="117"/>
      <c r="J669" s="117"/>
      <c r="K669" s="117"/>
      <c r="L669" s="133"/>
    </row>
    <row r="670" spans="2:12" ht="18.75" x14ac:dyDescent="0.3">
      <c r="B670" s="133"/>
      <c r="C670" s="117"/>
      <c r="D670" s="117"/>
      <c r="E670" s="117"/>
      <c r="F670" s="117"/>
      <c r="G670" s="117"/>
      <c r="H670" s="117"/>
      <c r="I670" s="117"/>
      <c r="J670" s="117"/>
      <c r="K670" s="117"/>
      <c r="L670" s="133"/>
    </row>
    <row r="671" spans="2:12" ht="18.75" x14ac:dyDescent="0.3">
      <c r="B671" s="133"/>
      <c r="C671" s="117"/>
      <c r="D671" s="117"/>
      <c r="E671" s="117"/>
      <c r="F671" s="117"/>
      <c r="G671" s="117"/>
      <c r="H671" s="117"/>
      <c r="I671" s="117"/>
      <c r="J671" s="117"/>
      <c r="K671" s="117"/>
      <c r="L671" s="133"/>
    </row>
    <row r="672" spans="2:12" ht="18.75" x14ac:dyDescent="0.3">
      <c r="B672" s="133"/>
      <c r="C672" s="117"/>
      <c r="D672" s="117"/>
      <c r="E672" s="117"/>
      <c r="F672" s="117"/>
      <c r="G672" s="117"/>
      <c r="H672" s="117"/>
      <c r="I672" s="117"/>
      <c r="J672" s="117"/>
      <c r="K672" s="117"/>
      <c r="L672" s="133"/>
    </row>
    <row r="673" spans="2:12" ht="18.75" x14ac:dyDescent="0.3">
      <c r="B673" s="133"/>
      <c r="C673" s="117"/>
      <c r="D673" s="117"/>
      <c r="E673" s="117"/>
      <c r="F673" s="117"/>
      <c r="G673" s="117"/>
      <c r="H673" s="117"/>
      <c r="I673" s="117"/>
      <c r="J673" s="117"/>
      <c r="K673" s="117"/>
      <c r="L673" s="133"/>
    </row>
    <row r="674" spans="2:12" ht="18.75" x14ac:dyDescent="0.3">
      <c r="B674" s="133"/>
      <c r="C674" s="117"/>
      <c r="D674" s="117"/>
      <c r="E674" s="117"/>
      <c r="F674" s="117"/>
      <c r="G674" s="117"/>
      <c r="H674" s="117"/>
      <c r="I674" s="117"/>
      <c r="J674" s="117"/>
      <c r="K674" s="117"/>
      <c r="L674" s="133"/>
    </row>
    <row r="675" spans="2:12" ht="18.75" x14ac:dyDescent="0.3">
      <c r="B675" s="133"/>
      <c r="C675" s="117"/>
      <c r="D675" s="117"/>
      <c r="E675" s="117"/>
      <c r="F675" s="117"/>
      <c r="G675" s="117"/>
      <c r="H675" s="117"/>
      <c r="I675" s="117"/>
      <c r="J675" s="117"/>
      <c r="K675" s="117"/>
      <c r="L675" s="133"/>
    </row>
    <row r="676" spans="2:12" ht="18.75" x14ac:dyDescent="0.3">
      <c r="B676" s="133"/>
      <c r="C676" s="117"/>
      <c r="D676" s="117"/>
      <c r="E676" s="117"/>
      <c r="F676" s="117"/>
      <c r="G676" s="117"/>
      <c r="H676" s="117"/>
      <c r="I676" s="117"/>
      <c r="J676" s="117"/>
      <c r="K676" s="117"/>
      <c r="L676" s="133"/>
    </row>
    <row r="677" spans="2:12" ht="18.75" x14ac:dyDescent="0.3">
      <c r="B677" s="133"/>
      <c r="C677" s="117"/>
      <c r="D677" s="117"/>
      <c r="E677" s="117"/>
      <c r="F677" s="117"/>
      <c r="G677" s="117"/>
      <c r="H677" s="117"/>
      <c r="I677" s="117"/>
      <c r="J677" s="117"/>
      <c r="K677" s="117"/>
      <c r="L677" s="133"/>
    </row>
    <row r="678" spans="2:12" ht="18.75" x14ac:dyDescent="0.3">
      <c r="B678" s="133"/>
      <c r="C678" s="117"/>
      <c r="D678" s="117"/>
      <c r="E678" s="117"/>
      <c r="F678" s="117"/>
      <c r="G678" s="117"/>
      <c r="H678" s="117"/>
      <c r="I678" s="117"/>
      <c r="J678" s="117"/>
      <c r="K678" s="117"/>
      <c r="L678" s="133"/>
    </row>
    <row r="679" spans="2:12" ht="18.75" x14ac:dyDescent="0.3">
      <c r="B679" s="133"/>
      <c r="C679" s="117"/>
      <c r="D679" s="117"/>
      <c r="E679" s="117"/>
      <c r="F679" s="117"/>
      <c r="G679" s="117"/>
      <c r="H679" s="117"/>
      <c r="I679" s="117"/>
      <c r="J679" s="117"/>
      <c r="K679" s="117"/>
      <c r="L679" s="133"/>
    </row>
    <row r="680" spans="2:12" ht="18.75" x14ac:dyDescent="0.3">
      <c r="B680" s="133"/>
      <c r="C680" s="117"/>
      <c r="D680" s="117"/>
      <c r="E680" s="117"/>
      <c r="F680" s="117"/>
      <c r="G680" s="117"/>
      <c r="H680" s="117"/>
      <c r="I680" s="117"/>
      <c r="J680" s="117"/>
      <c r="K680" s="117"/>
      <c r="L680" s="133"/>
    </row>
    <row r="681" spans="2:12" ht="18.75" x14ac:dyDescent="0.3">
      <c r="B681" s="133"/>
      <c r="C681" s="117"/>
      <c r="D681" s="117"/>
      <c r="E681" s="117"/>
      <c r="F681" s="117"/>
      <c r="G681" s="117"/>
      <c r="H681" s="117"/>
      <c r="I681" s="117"/>
      <c r="J681" s="117"/>
      <c r="K681" s="117"/>
      <c r="L681" s="133"/>
    </row>
    <row r="682" spans="2:12" ht="18.75" x14ac:dyDescent="0.3">
      <c r="B682" s="133"/>
      <c r="C682" s="117"/>
      <c r="D682" s="117"/>
      <c r="E682" s="117"/>
      <c r="F682" s="117"/>
      <c r="G682" s="117"/>
      <c r="H682" s="117"/>
      <c r="I682" s="117"/>
      <c r="J682" s="117"/>
      <c r="K682" s="117"/>
      <c r="L682" s="133"/>
    </row>
    <row r="683" spans="2:12" ht="18.75" x14ac:dyDescent="0.3">
      <c r="B683" s="133"/>
      <c r="C683" s="117"/>
      <c r="D683" s="117"/>
      <c r="E683" s="117"/>
      <c r="F683" s="117"/>
      <c r="G683" s="117"/>
      <c r="H683" s="117"/>
      <c r="I683" s="117"/>
      <c r="J683" s="117"/>
      <c r="K683" s="117"/>
      <c r="L683" s="133"/>
    </row>
    <row r="684" spans="2:12" ht="18.75" x14ac:dyDescent="0.3">
      <c r="B684" s="133"/>
      <c r="C684" s="117"/>
      <c r="D684" s="117"/>
      <c r="E684" s="117"/>
      <c r="F684" s="117"/>
      <c r="G684" s="117"/>
      <c r="H684" s="117"/>
      <c r="I684" s="117"/>
      <c r="J684" s="117"/>
      <c r="K684" s="117"/>
      <c r="L684" s="133"/>
    </row>
    <row r="685" spans="2:12" ht="18.75" x14ac:dyDescent="0.3">
      <c r="B685" s="133"/>
      <c r="C685" s="117"/>
      <c r="D685" s="117"/>
      <c r="E685" s="117"/>
      <c r="F685" s="117"/>
      <c r="G685" s="117"/>
      <c r="H685" s="117"/>
      <c r="I685" s="117"/>
      <c r="J685" s="117"/>
      <c r="K685" s="117"/>
      <c r="L685" s="133"/>
    </row>
    <row r="686" spans="2:12" ht="18.75" x14ac:dyDescent="0.3">
      <c r="B686" s="133"/>
      <c r="C686" s="117"/>
      <c r="D686" s="117"/>
      <c r="E686" s="117"/>
      <c r="F686" s="117"/>
      <c r="G686" s="117"/>
      <c r="H686" s="117"/>
      <c r="I686" s="117"/>
      <c r="J686" s="117"/>
      <c r="K686" s="117"/>
      <c r="L686" s="133"/>
    </row>
    <row r="687" spans="2:12" ht="18.75" x14ac:dyDescent="0.3">
      <c r="B687" s="133"/>
      <c r="C687" s="117"/>
      <c r="D687" s="117"/>
      <c r="E687" s="117"/>
      <c r="F687" s="117"/>
      <c r="G687" s="117"/>
      <c r="H687" s="117"/>
      <c r="I687" s="117"/>
      <c r="J687" s="117"/>
      <c r="K687" s="117"/>
      <c r="L687" s="133"/>
    </row>
    <row r="688" spans="2:12" ht="18.75" x14ac:dyDescent="0.3">
      <c r="B688" s="133"/>
      <c r="C688" s="117"/>
      <c r="D688" s="117"/>
      <c r="E688" s="117"/>
      <c r="F688" s="117"/>
      <c r="G688" s="117"/>
      <c r="H688" s="117"/>
      <c r="I688" s="117"/>
      <c r="J688" s="117"/>
      <c r="K688" s="117"/>
      <c r="L688" s="133"/>
    </row>
    <row r="689" spans="2:12" ht="18.75" x14ac:dyDescent="0.3">
      <c r="B689" s="133"/>
      <c r="C689" s="117"/>
      <c r="D689" s="117"/>
      <c r="E689" s="117"/>
      <c r="F689" s="117"/>
      <c r="G689" s="117"/>
      <c r="H689" s="117"/>
      <c r="I689" s="117"/>
      <c r="J689" s="117"/>
      <c r="K689" s="117"/>
      <c r="L689" s="133"/>
    </row>
    <row r="690" spans="2:12" ht="18.75" x14ac:dyDescent="0.3">
      <c r="B690" s="133"/>
      <c r="C690" s="117"/>
      <c r="D690" s="117"/>
      <c r="E690" s="117"/>
      <c r="F690" s="117"/>
      <c r="G690" s="117"/>
      <c r="H690" s="117"/>
      <c r="I690" s="117"/>
      <c r="J690" s="117"/>
      <c r="K690" s="117"/>
      <c r="L690" s="133"/>
    </row>
    <row r="691" spans="2:12" ht="18.75" x14ac:dyDescent="0.3">
      <c r="B691" s="133"/>
      <c r="C691" s="117"/>
      <c r="D691" s="117"/>
      <c r="E691" s="117"/>
      <c r="F691" s="117"/>
      <c r="G691" s="117"/>
      <c r="H691" s="117"/>
      <c r="I691" s="117"/>
      <c r="J691" s="117"/>
      <c r="K691" s="117"/>
      <c r="L691" s="133"/>
    </row>
    <row r="692" spans="2:12" ht="18.75" x14ac:dyDescent="0.3">
      <c r="B692" s="133"/>
      <c r="C692" s="117"/>
      <c r="D692" s="117"/>
      <c r="E692" s="117"/>
      <c r="F692" s="117"/>
      <c r="G692" s="117"/>
      <c r="H692" s="117"/>
      <c r="I692" s="117"/>
      <c r="J692" s="117"/>
      <c r="K692" s="117"/>
      <c r="L692" s="133"/>
    </row>
    <row r="693" spans="2:12" ht="18.75" x14ac:dyDescent="0.3">
      <c r="B693" s="133"/>
      <c r="C693" s="117"/>
      <c r="D693" s="117"/>
      <c r="E693" s="117"/>
      <c r="F693" s="117"/>
      <c r="G693" s="117"/>
      <c r="H693" s="117"/>
      <c r="I693" s="117"/>
      <c r="J693" s="117"/>
      <c r="K693" s="117"/>
      <c r="L693" s="133"/>
    </row>
  </sheetData>
  <mergeCells count="21">
    <mergeCell ref="A1:K1"/>
    <mergeCell ref="A2:K2"/>
    <mergeCell ref="A3:K3"/>
    <mergeCell ref="A4:K4"/>
    <mergeCell ref="A8:B8"/>
    <mergeCell ref="C8:D8"/>
    <mergeCell ref="E8:F8"/>
    <mergeCell ref="G8:H8"/>
    <mergeCell ref="I8:J8"/>
    <mergeCell ref="K8:L8"/>
    <mergeCell ref="A6:H6"/>
    <mergeCell ref="W8:X8"/>
    <mergeCell ref="Y8:Z8"/>
    <mergeCell ref="AA8:AB8"/>
    <mergeCell ref="A12:B12"/>
    <mergeCell ref="A32:B32"/>
    <mergeCell ref="M8:N8"/>
    <mergeCell ref="O8:P8"/>
    <mergeCell ref="Q8:R8"/>
    <mergeCell ref="S8:T8"/>
    <mergeCell ref="U8:V8"/>
  </mergeCells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2"/>
  <sheetViews>
    <sheetView topLeftCell="A7" zoomScale="124" zoomScaleNormal="124" workbookViewId="0">
      <selection activeCell="E14" sqref="E14"/>
    </sheetView>
  </sheetViews>
  <sheetFormatPr baseColWidth="10" defaultRowHeight="15" x14ac:dyDescent="0.25"/>
  <cols>
    <col min="1" max="1" width="7.42578125" customWidth="1"/>
    <col min="2" max="2" width="33.85546875" customWidth="1"/>
    <col min="4" max="4" width="13.5703125" customWidth="1"/>
    <col min="5" max="5" width="14.42578125" customWidth="1"/>
    <col min="6" max="6" width="13" customWidth="1"/>
    <col min="7" max="7" width="9.42578125" customWidth="1"/>
  </cols>
  <sheetData>
    <row r="1" spans="1:7" ht="45" x14ac:dyDescent="0.6">
      <c r="A1" s="859"/>
      <c r="B1" s="859"/>
      <c r="C1" s="859"/>
      <c r="D1" s="859"/>
      <c r="E1" s="859"/>
      <c r="F1" s="859"/>
      <c r="G1" s="859"/>
    </row>
    <row r="2" spans="1:7" ht="25.5" x14ac:dyDescent="0.35">
      <c r="A2" s="879" t="s">
        <v>24</v>
      </c>
      <c r="B2" s="879"/>
      <c r="C2" s="879"/>
      <c r="D2" s="879"/>
      <c r="E2" s="879"/>
      <c r="F2" s="879"/>
      <c r="G2" s="879"/>
    </row>
    <row r="3" spans="1:7" ht="25.5" x14ac:dyDescent="0.35">
      <c r="A3" s="291"/>
      <c r="B3" s="863" t="s">
        <v>321</v>
      </c>
      <c r="C3" s="863"/>
      <c r="D3" s="863"/>
      <c r="E3" s="863"/>
      <c r="F3" s="863"/>
      <c r="G3" s="863"/>
    </row>
    <row r="4" spans="1:7" ht="20.25" x14ac:dyDescent="0.3">
      <c r="A4" s="877" t="s">
        <v>54</v>
      </c>
      <c r="B4" s="877"/>
      <c r="C4" s="877"/>
      <c r="D4" s="877"/>
      <c r="E4" s="877"/>
      <c r="F4" s="877"/>
      <c r="G4" s="877"/>
    </row>
    <row r="5" spans="1:7" ht="18.75" x14ac:dyDescent="0.3">
      <c r="A5" s="878" t="s">
        <v>585</v>
      </c>
      <c r="B5" s="878"/>
      <c r="C5" s="878"/>
      <c r="D5" s="878"/>
      <c r="E5" s="878"/>
      <c r="F5" s="878"/>
      <c r="G5" s="878"/>
    </row>
    <row r="6" spans="1:7" ht="16.5" thickBot="1" x14ac:dyDescent="0.3">
      <c r="A6" s="29"/>
      <c r="B6" s="29"/>
      <c r="C6" s="29"/>
      <c r="D6" s="29"/>
      <c r="E6" s="29"/>
      <c r="F6" s="30"/>
      <c r="G6" s="29"/>
    </row>
    <row r="7" spans="1:7" ht="48" thickBot="1" x14ac:dyDescent="0.3">
      <c r="A7" s="200" t="s">
        <v>43</v>
      </c>
      <c r="B7" s="200" t="s">
        <v>55</v>
      </c>
      <c r="C7" s="200" t="s">
        <v>46</v>
      </c>
      <c r="D7" s="201" t="s">
        <v>56</v>
      </c>
      <c r="E7" s="201" t="s">
        <v>57</v>
      </c>
      <c r="F7" s="202" t="s">
        <v>58</v>
      </c>
      <c r="G7" s="31" t="s">
        <v>50</v>
      </c>
    </row>
    <row r="8" spans="1:7" ht="30" customHeight="1" x14ac:dyDescent="0.25">
      <c r="A8" s="212">
        <v>1</v>
      </c>
      <c r="B8" s="292" t="s">
        <v>321</v>
      </c>
      <c r="C8" s="218" t="s">
        <v>91</v>
      </c>
      <c r="D8" s="293">
        <f>576000</f>
        <v>576000</v>
      </c>
      <c r="E8" s="293">
        <f>3948+701592.82</f>
        <v>705540.82</v>
      </c>
      <c r="F8" s="293">
        <f>D8-E8</f>
        <v>-129540.81999999995</v>
      </c>
      <c r="G8" s="293">
        <f>F8/D8</f>
        <v>-0.22489725694444435</v>
      </c>
    </row>
    <row r="9" spans="1:7" ht="32.25" customHeight="1" x14ac:dyDescent="0.25">
      <c r="A9" s="212">
        <v>2</v>
      </c>
      <c r="B9" s="292" t="s">
        <v>321</v>
      </c>
      <c r="C9" s="214" t="s">
        <v>59</v>
      </c>
      <c r="D9" s="293">
        <v>576000</v>
      </c>
      <c r="E9" s="293">
        <f>797226.32+41115+600000</f>
        <v>1438341.3199999998</v>
      </c>
      <c r="F9" s="293">
        <f t="shared" ref="F9:F19" si="0">D9-E9</f>
        <v>-862341.31999999983</v>
      </c>
      <c r="G9" s="293">
        <f t="shared" ref="G9:G19" si="1">F9/D9</f>
        <v>-1.4971203472222219</v>
      </c>
    </row>
    <row r="10" spans="1:7" ht="22.5" x14ac:dyDescent="0.25">
      <c r="A10" s="212">
        <v>3</v>
      </c>
      <c r="B10" s="292" t="s">
        <v>321</v>
      </c>
      <c r="C10" s="214" t="s">
        <v>60</v>
      </c>
      <c r="D10" s="293">
        <v>576000</v>
      </c>
      <c r="E10" s="293">
        <f>851039.71+6046</f>
        <v>857085.71</v>
      </c>
      <c r="F10" s="293">
        <f t="shared" si="0"/>
        <v>-281085.70999999996</v>
      </c>
      <c r="G10" s="293">
        <f t="shared" si="1"/>
        <v>-0.4879960243055555</v>
      </c>
    </row>
    <row r="11" spans="1:7" ht="22.5" x14ac:dyDescent="0.25">
      <c r="A11" s="212">
        <v>4</v>
      </c>
      <c r="B11" s="292" t="s">
        <v>321</v>
      </c>
      <c r="C11" s="214" t="s">
        <v>61</v>
      </c>
      <c r="D11" s="293">
        <v>576000</v>
      </c>
      <c r="E11" s="293">
        <f>4597+625528.06+110907</f>
        <v>741032.06</v>
      </c>
      <c r="F11" s="293">
        <f t="shared" si="0"/>
        <v>-165032.06000000006</v>
      </c>
      <c r="G11" s="293">
        <f t="shared" si="1"/>
        <v>-0.28651399305555564</v>
      </c>
    </row>
    <row r="12" spans="1:7" ht="22.5" x14ac:dyDescent="0.25">
      <c r="A12" s="212">
        <v>5</v>
      </c>
      <c r="B12" s="292" t="s">
        <v>321</v>
      </c>
      <c r="C12" s="214" t="s">
        <v>62</v>
      </c>
      <c r="D12" s="293">
        <v>576000</v>
      </c>
      <c r="E12" s="293">
        <f>2961+769193.36</f>
        <v>772154.36</v>
      </c>
      <c r="F12" s="293">
        <f t="shared" si="0"/>
        <v>-196154.36</v>
      </c>
      <c r="G12" s="293">
        <f t="shared" si="1"/>
        <v>-0.34054576388888885</v>
      </c>
    </row>
    <row r="13" spans="1:7" ht="22.5" x14ac:dyDescent="0.25">
      <c r="A13" s="212">
        <v>6</v>
      </c>
      <c r="B13" s="292" t="s">
        <v>321</v>
      </c>
      <c r="C13" s="214" t="s">
        <v>63</v>
      </c>
      <c r="D13" s="293">
        <v>576000</v>
      </c>
      <c r="E13" s="293">
        <f>29694+731334.78</f>
        <v>761028.78</v>
      </c>
      <c r="F13" s="293">
        <f t="shared" si="0"/>
        <v>-185028.78000000003</v>
      </c>
      <c r="G13" s="293">
        <f t="shared" si="1"/>
        <v>-0.32123052083333337</v>
      </c>
    </row>
    <row r="14" spans="1:7" ht="22.5" x14ac:dyDescent="0.25">
      <c r="A14" s="212">
        <v>7</v>
      </c>
      <c r="B14" s="292" t="s">
        <v>321</v>
      </c>
      <c r="C14" s="214" t="s">
        <v>64</v>
      </c>
      <c r="D14" s="293">
        <v>576000</v>
      </c>
      <c r="E14" s="293">
        <f>13852+968394.33+207798</f>
        <v>1190044.33</v>
      </c>
      <c r="F14" s="295">
        <f t="shared" si="0"/>
        <v>-614044.33000000007</v>
      </c>
      <c r="G14" s="213">
        <f t="shared" si="1"/>
        <v>-1.0660491840277779</v>
      </c>
    </row>
    <row r="15" spans="1:7" ht="22.5" x14ac:dyDescent="0.25">
      <c r="A15" s="212">
        <v>8</v>
      </c>
      <c r="B15" s="292" t="s">
        <v>321</v>
      </c>
      <c r="C15" s="214" t="s">
        <v>65</v>
      </c>
      <c r="D15" s="293">
        <v>576000</v>
      </c>
      <c r="E15" s="293">
        <f>13669+1102590.57</f>
        <v>1116259.57</v>
      </c>
      <c r="F15" s="295">
        <f t="shared" si="0"/>
        <v>-540259.57000000007</v>
      </c>
      <c r="G15" s="213">
        <f t="shared" si="1"/>
        <v>-0.93795064236111125</v>
      </c>
    </row>
    <row r="16" spans="1:7" ht="22.5" x14ac:dyDescent="0.25">
      <c r="A16" s="212">
        <v>9</v>
      </c>
      <c r="B16" s="292" t="s">
        <v>321</v>
      </c>
      <c r="C16" s="214" t="s">
        <v>66</v>
      </c>
      <c r="D16" s="293">
        <v>0</v>
      </c>
      <c r="E16" s="294">
        <v>0</v>
      </c>
      <c r="F16" s="295">
        <f t="shared" si="0"/>
        <v>0</v>
      </c>
      <c r="G16" s="213" t="e">
        <f t="shared" si="1"/>
        <v>#DIV/0!</v>
      </c>
    </row>
    <row r="17" spans="1:7" ht="22.5" x14ac:dyDescent="0.25">
      <c r="A17" s="212">
        <v>10</v>
      </c>
      <c r="B17" s="292" t="s">
        <v>321</v>
      </c>
      <c r="C17" s="214" t="s">
        <v>67</v>
      </c>
      <c r="D17" s="293">
        <v>0</v>
      </c>
      <c r="E17" s="294">
        <v>0</v>
      </c>
      <c r="F17" s="295">
        <f t="shared" si="0"/>
        <v>0</v>
      </c>
      <c r="G17" s="213" t="e">
        <f t="shared" si="1"/>
        <v>#DIV/0!</v>
      </c>
    </row>
    <row r="18" spans="1:7" ht="22.5" x14ac:dyDescent="0.25">
      <c r="A18" s="212">
        <v>11</v>
      </c>
      <c r="B18" s="292" t="s">
        <v>321</v>
      </c>
      <c r="C18" s="214" t="s">
        <v>68</v>
      </c>
      <c r="D18" s="293">
        <v>0</v>
      </c>
      <c r="E18" s="294">
        <v>0</v>
      </c>
      <c r="F18" s="295">
        <f t="shared" si="0"/>
        <v>0</v>
      </c>
      <c r="G18" s="213" t="e">
        <f t="shared" si="1"/>
        <v>#DIV/0!</v>
      </c>
    </row>
    <row r="19" spans="1:7" ht="23.25" thickBot="1" x14ac:dyDescent="0.3">
      <c r="A19" s="212">
        <v>12</v>
      </c>
      <c r="B19" s="292" t="s">
        <v>321</v>
      </c>
      <c r="C19" s="214" t="s">
        <v>69</v>
      </c>
      <c r="D19" s="293">
        <v>0</v>
      </c>
      <c r="E19" s="294">
        <v>0</v>
      </c>
      <c r="F19" s="295">
        <f t="shared" si="0"/>
        <v>0</v>
      </c>
      <c r="G19" s="213" t="e">
        <f t="shared" si="1"/>
        <v>#DIV/0!</v>
      </c>
    </row>
    <row r="20" spans="1:7" ht="15.75" thickBot="1" x14ac:dyDescent="0.3">
      <c r="A20" s="215"/>
      <c r="B20" s="216" t="s">
        <v>44</v>
      </c>
      <c r="C20" s="216"/>
      <c r="D20" s="217">
        <f>SUM(D8:D19)</f>
        <v>4608000</v>
      </c>
      <c r="E20" s="217">
        <f>SUM(E8:E19)</f>
        <v>7581486.9500000002</v>
      </c>
      <c r="F20" s="256">
        <f>SUM(F8:F19)</f>
        <v>-2973486.95</v>
      </c>
      <c r="G20" s="256"/>
    </row>
    <row r="22" spans="1:7" x14ac:dyDescent="0.25">
      <c r="C22" t="s">
        <v>649</v>
      </c>
    </row>
  </sheetData>
  <mergeCells count="5">
    <mergeCell ref="A4:G4"/>
    <mergeCell ref="A5:G5"/>
    <mergeCell ref="A1:G1"/>
    <mergeCell ref="A2:G2"/>
    <mergeCell ref="B3:G3"/>
  </mergeCells>
  <pageMargins left="0.7" right="0.7" top="0.75" bottom="0.75" header="0.3" footer="0.3"/>
  <pageSetup orientation="landscape" horizontalDpi="4294967293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L29"/>
  <sheetViews>
    <sheetView workbookViewId="0">
      <selection activeCell="E20" sqref="E20"/>
    </sheetView>
  </sheetViews>
  <sheetFormatPr baseColWidth="10" defaultRowHeight="12.75" x14ac:dyDescent="0.2"/>
  <cols>
    <col min="1" max="1" width="7.28515625" style="33" customWidth="1"/>
    <col min="2" max="2" width="37.85546875" style="33" customWidth="1"/>
    <col min="3" max="3" width="16.140625" style="33" customWidth="1"/>
    <col min="4" max="4" width="12.7109375" style="33" customWidth="1"/>
    <col min="5" max="5" width="14" style="33" customWidth="1"/>
    <col min="6" max="6" width="20.42578125" style="33" customWidth="1"/>
    <col min="7" max="7" width="21.28515625" style="33" customWidth="1"/>
    <col min="8" max="8" width="20.140625" style="33" customWidth="1"/>
    <col min="9" max="9" width="18.28515625" style="33" customWidth="1"/>
    <col min="10" max="10" width="19.28515625" style="33" customWidth="1"/>
    <col min="11" max="11" width="17.7109375" style="33" customWidth="1"/>
    <col min="12" max="255" width="11.42578125" style="33"/>
    <col min="256" max="256" width="7.28515625" style="33" customWidth="1"/>
    <col min="257" max="257" width="44.5703125" style="33" bestFit="1" customWidth="1"/>
    <col min="258" max="258" width="14" style="33" customWidth="1"/>
    <col min="259" max="259" width="18.28515625" style="33" customWidth="1"/>
    <col min="260" max="260" width="17.7109375" style="33" customWidth="1"/>
    <col min="261" max="261" width="20.140625" style="33" customWidth="1"/>
    <col min="262" max="262" width="15.85546875" style="33" bestFit="1" customWidth="1"/>
    <col min="263" max="263" width="16.85546875" style="33" customWidth="1"/>
    <col min="264" max="264" width="15.85546875" style="33" bestFit="1" customWidth="1"/>
    <col min="265" max="265" width="16.42578125" style="33" bestFit="1" customWidth="1"/>
    <col min="266" max="266" width="9.42578125" style="33" customWidth="1"/>
    <col min="267" max="267" width="17.7109375" style="33" customWidth="1"/>
    <col min="268" max="511" width="11.42578125" style="33"/>
    <col min="512" max="512" width="7.28515625" style="33" customWidth="1"/>
    <col min="513" max="513" width="44.5703125" style="33" bestFit="1" customWidth="1"/>
    <col min="514" max="514" width="14" style="33" customWidth="1"/>
    <col min="515" max="515" width="18.28515625" style="33" customWidth="1"/>
    <col min="516" max="516" width="17.7109375" style="33" customWidth="1"/>
    <col min="517" max="517" width="20.140625" style="33" customWidth="1"/>
    <col min="518" max="518" width="15.85546875" style="33" bestFit="1" customWidth="1"/>
    <col min="519" max="519" width="16.85546875" style="33" customWidth="1"/>
    <col min="520" max="520" width="15.85546875" style="33" bestFit="1" customWidth="1"/>
    <col min="521" max="521" width="16.42578125" style="33" bestFit="1" customWidth="1"/>
    <col min="522" max="522" width="9.42578125" style="33" customWidth="1"/>
    <col min="523" max="523" width="17.7109375" style="33" customWidth="1"/>
    <col min="524" max="767" width="11.42578125" style="33"/>
    <col min="768" max="768" width="7.28515625" style="33" customWidth="1"/>
    <col min="769" max="769" width="44.5703125" style="33" bestFit="1" customWidth="1"/>
    <col min="770" max="770" width="14" style="33" customWidth="1"/>
    <col min="771" max="771" width="18.28515625" style="33" customWidth="1"/>
    <col min="772" max="772" width="17.7109375" style="33" customWidth="1"/>
    <col min="773" max="773" width="20.140625" style="33" customWidth="1"/>
    <col min="774" max="774" width="15.85546875" style="33" bestFit="1" customWidth="1"/>
    <col min="775" max="775" width="16.85546875" style="33" customWidth="1"/>
    <col min="776" max="776" width="15.85546875" style="33" bestFit="1" customWidth="1"/>
    <col min="777" max="777" width="16.42578125" style="33" bestFit="1" customWidth="1"/>
    <col min="778" max="778" width="9.42578125" style="33" customWidth="1"/>
    <col min="779" max="779" width="17.7109375" style="33" customWidth="1"/>
    <col min="780" max="1023" width="11.42578125" style="33"/>
    <col min="1024" max="1024" width="7.28515625" style="33" customWidth="1"/>
    <col min="1025" max="1025" width="44.5703125" style="33" bestFit="1" customWidth="1"/>
    <col min="1026" max="1026" width="14" style="33" customWidth="1"/>
    <col min="1027" max="1027" width="18.28515625" style="33" customWidth="1"/>
    <col min="1028" max="1028" width="17.7109375" style="33" customWidth="1"/>
    <col min="1029" max="1029" width="20.140625" style="33" customWidth="1"/>
    <col min="1030" max="1030" width="15.85546875" style="33" bestFit="1" customWidth="1"/>
    <col min="1031" max="1031" width="16.85546875" style="33" customWidth="1"/>
    <col min="1032" max="1032" width="15.85546875" style="33" bestFit="1" customWidth="1"/>
    <col min="1033" max="1033" width="16.42578125" style="33" bestFit="1" customWidth="1"/>
    <col min="1034" max="1034" width="9.42578125" style="33" customWidth="1"/>
    <col min="1035" max="1035" width="17.7109375" style="33" customWidth="1"/>
    <col min="1036" max="1279" width="11.42578125" style="33"/>
    <col min="1280" max="1280" width="7.28515625" style="33" customWidth="1"/>
    <col min="1281" max="1281" width="44.5703125" style="33" bestFit="1" customWidth="1"/>
    <col min="1282" max="1282" width="14" style="33" customWidth="1"/>
    <col min="1283" max="1283" width="18.28515625" style="33" customWidth="1"/>
    <col min="1284" max="1284" width="17.7109375" style="33" customWidth="1"/>
    <col min="1285" max="1285" width="20.140625" style="33" customWidth="1"/>
    <col min="1286" max="1286" width="15.85546875" style="33" bestFit="1" customWidth="1"/>
    <col min="1287" max="1287" width="16.85546875" style="33" customWidth="1"/>
    <col min="1288" max="1288" width="15.85546875" style="33" bestFit="1" customWidth="1"/>
    <col min="1289" max="1289" width="16.42578125" style="33" bestFit="1" customWidth="1"/>
    <col min="1290" max="1290" width="9.42578125" style="33" customWidth="1"/>
    <col min="1291" max="1291" width="17.7109375" style="33" customWidth="1"/>
    <col min="1292" max="1535" width="11.42578125" style="33"/>
    <col min="1536" max="1536" width="7.28515625" style="33" customWidth="1"/>
    <col min="1537" max="1537" width="44.5703125" style="33" bestFit="1" customWidth="1"/>
    <col min="1538" max="1538" width="14" style="33" customWidth="1"/>
    <col min="1539" max="1539" width="18.28515625" style="33" customWidth="1"/>
    <col min="1540" max="1540" width="17.7109375" style="33" customWidth="1"/>
    <col min="1541" max="1541" width="20.140625" style="33" customWidth="1"/>
    <col min="1542" max="1542" width="15.85546875" style="33" bestFit="1" customWidth="1"/>
    <col min="1543" max="1543" width="16.85546875" style="33" customWidth="1"/>
    <col min="1544" max="1544" width="15.85546875" style="33" bestFit="1" customWidth="1"/>
    <col min="1545" max="1545" width="16.42578125" style="33" bestFit="1" customWidth="1"/>
    <col min="1546" max="1546" width="9.42578125" style="33" customWidth="1"/>
    <col min="1547" max="1547" width="17.7109375" style="33" customWidth="1"/>
    <col min="1548" max="1791" width="11.42578125" style="33"/>
    <col min="1792" max="1792" width="7.28515625" style="33" customWidth="1"/>
    <col min="1793" max="1793" width="44.5703125" style="33" bestFit="1" customWidth="1"/>
    <col min="1794" max="1794" width="14" style="33" customWidth="1"/>
    <col min="1795" max="1795" width="18.28515625" style="33" customWidth="1"/>
    <col min="1796" max="1796" width="17.7109375" style="33" customWidth="1"/>
    <col min="1797" max="1797" width="20.140625" style="33" customWidth="1"/>
    <col min="1798" max="1798" width="15.85546875" style="33" bestFit="1" customWidth="1"/>
    <col min="1799" max="1799" width="16.85546875" style="33" customWidth="1"/>
    <col min="1800" max="1800" width="15.85546875" style="33" bestFit="1" customWidth="1"/>
    <col min="1801" max="1801" width="16.42578125" style="33" bestFit="1" customWidth="1"/>
    <col min="1802" max="1802" width="9.42578125" style="33" customWidth="1"/>
    <col min="1803" max="1803" width="17.7109375" style="33" customWidth="1"/>
    <col min="1804" max="2047" width="11.42578125" style="33"/>
    <col min="2048" max="2048" width="7.28515625" style="33" customWidth="1"/>
    <col min="2049" max="2049" width="44.5703125" style="33" bestFit="1" customWidth="1"/>
    <col min="2050" max="2050" width="14" style="33" customWidth="1"/>
    <col min="2051" max="2051" width="18.28515625" style="33" customWidth="1"/>
    <col min="2052" max="2052" width="17.7109375" style="33" customWidth="1"/>
    <col min="2053" max="2053" width="20.140625" style="33" customWidth="1"/>
    <col min="2054" max="2054" width="15.85546875" style="33" bestFit="1" customWidth="1"/>
    <col min="2055" max="2055" width="16.85546875" style="33" customWidth="1"/>
    <col min="2056" max="2056" width="15.85546875" style="33" bestFit="1" customWidth="1"/>
    <col min="2057" max="2057" width="16.42578125" style="33" bestFit="1" customWidth="1"/>
    <col min="2058" max="2058" width="9.42578125" style="33" customWidth="1"/>
    <col min="2059" max="2059" width="17.7109375" style="33" customWidth="1"/>
    <col min="2060" max="2303" width="11.42578125" style="33"/>
    <col min="2304" max="2304" width="7.28515625" style="33" customWidth="1"/>
    <col min="2305" max="2305" width="44.5703125" style="33" bestFit="1" customWidth="1"/>
    <col min="2306" max="2306" width="14" style="33" customWidth="1"/>
    <col min="2307" max="2307" width="18.28515625" style="33" customWidth="1"/>
    <col min="2308" max="2308" width="17.7109375" style="33" customWidth="1"/>
    <col min="2309" max="2309" width="20.140625" style="33" customWidth="1"/>
    <col min="2310" max="2310" width="15.85546875" style="33" bestFit="1" customWidth="1"/>
    <col min="2311" max="2311" width="16.85546875" style="33" customWidth="1"/>
    <col min="2312" max="2312" width="15.85546875" style="33" bestFit="1" customWidth="1"/>
    <col min="2313" max="2313" width="16.42578125" style="33" bestFit="1" customWidth="1"/>
    <col min="2314" max="2314" width="9.42578125" style="33" customWidth="1"/>
    <col min="2315" max="2315" width="17.7109375" style="33" customWidth="1"/>
    <col min="2316" max="2559" width="11.42578125" style="33"/>
    <col min="2560" max="2560" width="7.28515625" style="33" customWidth="1"/>
    <col min="2561" max="2561" width="44.5703125" style="33" bestFit="1" customWidth="1"/>
    <col min="2562" max="2562" width="14" style="33" customWidth="1"/>
    <col min="2563" max="2563" width="18.28515625" style="33" customWidth="1"/>
    <col min="2564" max="2564" width="17.7109375" style="33" customWidth="1"/>
    <col min="2565" max="2565" width="20.140625" style="33" customWidth="1"/>
    <col min="2566" max="2566" width="15.85546875" style="33" bestFit="1" customWidth="1"/>
    <col min="2567" max="2567" width="16.85546875" style="33" customWidth="1"/>
    <col min="2568" max="2568" width="15.85546875" style="33" bestFit="1" customWidth="1"/>
    <col min="2569" max="2569" width="16.42578125" style="33" bestFit="1" customWidth="1"/>
    <col min="2570" max="2570" width="9.42578125" style="33" customWidth="1"/>
    <col min="2571" max="2571" width="17.7109375" style="33" customWidth="1"/>
    <col min="2572" max="2815" width="11.42578125" style="33"/>
    <col min="2816" max="2816" width="7.28515625" style="33" customWidth="1"/>
    <col min="2817" max="2817" width="44.5703125" style="33" bestFit="1" customWidth="1"/>
    <col min="2818" max="2818" width="14" style="33" customWidth="1"/>
    <col min="2819" max="2819" width="18.28515625" style="33" customWidth="1"/>
    <col min="2820" max="2820" width="17.7109375" style="33" customWidth="1"/>
    <col min="2821" max="2821" width="20.140625" style="33" customWidth="1"/>
    <col min="2822" max="2822" width="15.85546875" style="33" bestFit="1" customWidth="1"/>
    <col min="2823" max="2823" width="16.85546875" style="33" customWidth="1"/>
    <col min="2824" max="2824" width="15.85546875" style="33" bestFit="1" customWidth="1"/>
    <col min="2825" max="2825" width="16.42578125" style="33" bestFit="1" customWidth="1"/>
    <col min="2826" max="2826" width="9.42578125" style="33" customWidth="1"/>
    <col min="2827" max="2827" width="17.7109375" style="33" customWidth="1"/>
    <col min="2828" max="3071" width="11.42578125" style="33"/>
    <col min="3072" max="3072" width="7.28515625" style="33" customWidth="1"/>
    <col min="3073" max="3073" width="44.5703125" style="33" bestFit="1" customWidth="1"/>
    <col min="3074" max="3074" width="14" style="33" customWidth="1"/>
    <col min="3075" max="3075" width="18.28515625" style="33" customWidth="1"/>
    <col min="3076" max="3076" width="17.7109375" style="33" customWidth="1"/>
    <col min="3077" max="3077" width="20.140625" style="33" customWidth="1"/>
    <col min="3078" max="3078" width="15.85546875" style="33" bestFit="1" customWidth="1"/>
    <col min="3079" max="3079" width="16.85546875" style="33" customWidth="1"/>
    <col min="3080" max="3080" width="15.85546875" style="33" bestFit="1" customWidth="1"/>
    <col min="3081" max="3081" width="16.42578125" style="33" bestFit="1" customWidth="1"/>
    <col min="3082" max="3082" width="9.42578125" style="33" customWidth="1"/>
    <col min="3083" max="3083" width="17.7109375" style="33" customWidth="1"/>
    <col min="3084" max="3327" width="11.42578125" style="33"/>
    <col min="3328" max="3328" width="7.28515625" style="33" customWidth="1"/>
    <col min="3329" max="3329" width="44.5703125" style="33" bestFit="1" customWidth="1"/>
    <col min="3330" max="3330" width="14" style="33" customWidth="1"/>
    <col min="3331" max="3331" width="18.28515625" style="33" customWidth="1"/>
    <col min="3332" max="3332" width="17.7109375" style="33" customWidth="1"/>
    <col min="3333" max="3333" width="20.140625" style="33" customWidth="1"/>
    <col min="3334" max="3334" width="15.85546875" style="33" bestFit="1" customWidth="1"/>
    <col min="3335" max="3335" width="16.85546875" style="33" customWidth="1"/>
    <col min="3336" max="3336" width="15.85546875" style="33" bestFit="1" customWidth="1"/>
    <col min="3337" max="3337" width="16.42578125" style="33" bestFit="1" customWidth="1"/>
    <col min="3338" max="3338" width="9.42578125" style="33" customWidth="1"/>
    <col min="3339" max="3339" width="17.7109375" style="33" customWidth="1"/>
    <col min="3340" max="3583" width="11.42578125" style="33"/>
    <col min="3584" max="3584" width="7.28515625" style="33" customWidth="1"/>
    <col min="3585" max="3585" width="44.5703125" style="33" bestFit="1" customWidth="1"/>
    <col min="3586" max="3586" width="14" style="33" customWidth="1"/>
    <col min="3587" max="3587" width="18.28515625" style="33" customWidth="1"/>
    <col min="3588" max="3588" width="17.7109375" style="33" customWidth="1"/>
    <col min="3589" max="3589" width="20.140625" style="33" customWidth="1"/>
    <col min="3590" max="3590" width="15.85546875" style="33" bestFit="1" customWidth="1"/>
    <col min="3591" max="3591" width="16.85546875" style="33" customWidth="1"/>
    <col min="3592" max="3592" width="15.85546875" style="33" bestFit="1" customWidth="1"/>
    <col min="3593" max="3593" width="16.42578125" style="33" bestFit="1" customWidth="1"/>
    <col min="3594" max="3594" width="9.42578125" style="33" customWidth="1"/>
    <col min="3595" max="3595" width="17.7109375" style="33" customWidth="1"/>
    <col min="3596" max="3839" width="11.42578125" style="33"/>
    <col min="3840" max="3840" width="7.28515625" style="33" customWidth="1"/>
    <col min="3841" max="3841" width="44.5703125" style="33" bestFit="1" customWidth="1"/>
    <col min="3842" max="3842" width="14" style="33" customWidth="1"/>
    <col min="3843" max="3843" width="18.28515625" style="33" customWidth="1"/>
    <col min="3844" max="3844" width="17.7109375" style="33" customWidth="1"/>
    <col min="3845" max="3845" width="20.140625" style="33" customWidth="1"/>
    <col min="3846" max="3846" width="15.85546875" style="33" bestFit="1" customWidth="1"/>
    <col min="3847" max="3847" width="16.85546875" style="33" customWidth="1"/>
    <col min="3848" max="3848" width="15.85546875" style="33" bestFit="1" customWidth="1"/>
    <col min="3849" max="3849" width="16.42578125" style="33" bestFit="1" customWidth="1"/>
    <col min="3850" max="3850" width="9.42578125" style="33" customWidth="1"/>
    <col min="3851" max="3851" width="17.7109375" style="33" customWidth="1"/>
    <col min="3852" max="4095" width="11.42578125" style="33"/>
    <col min="4096" max="4096" width="7.28515625" style="33" customWidth="1"/>
    <col min="4097" max="4097" width="44.5703125" style="33" bestFit="1" customWidth="1"/>
    <col min="4098" max="4098" width="14" style="33" customWidth="1"/>
    <col min="4099" max="4099" width="18.28515625" style="33" customWidth="1"/>
    <col min="4100" max="4100" width="17.7109375" style="33" customWidth="1"/>
    <col min="4101" max="4101" width="20.140625" style="33" customWidth="1"/>
    <col min="4102" max="4102" width="15.85546875" style="33" bestFit="1" customWidth="1"/>
    <col min="4103" max="4103" width="16.85546875" style="33" customWidth="1"/>
    <col min="4104" max="4104" width="15.85546875" style="33" bestFit="1" customWidth="1"/>
    <col min="4105" max="4105" width="16.42578125" style="33" bestFit="1" customWidth="1"/>
    <col min="4106" max="4106" width="9.42578125" style="33" customWidth="1"/>
    <col min="4107" max="4107" width="17.7109375" style="33" customWidth="1"/>
    <col min="4108" max="4351" width="11.42578125" style="33"/>
    <col min="4352" max="4352" width="7.28515625" style="33" customWidth="1"/>
    <col min="4353" max="4353" width="44.5703125" style="33" bestFit="1" customWidth="1"/>
    <col min="4354" max="4354" width="14" style="33" customWidth="1"/>
    <col min="4355" max="4355" width="18.28515625" style="33" customWidth="1"/>
    <col min="4356" max="4356" width="17.7109375" style="33" customWidth="1"/>
    <col min="4357" max="4357" width="20.140625" style="33" customWidth="1"/>
    <col min="4358" max="4358" width="15.85546875" style="33" bestFit="1" customWidth="1"/>
    <col min="4359" max="4359" width="16.85546875" style="33" customWidth="1"/>
    <col min="4360" max="4360" width="15.85546875" style="33" bestFit="1" customWidth="1"/>
    <col min="4361" max="4361" width="16.42578125" style="33" bestFit="1" customWidth="1"/>
    <col min="4362" max="4362" width="9.42578125" style="33" customWidth="1"/>
    <col min="4363" max="4363" width="17.7109375" style="33" customWidth="1"/>
    <col min="4364" max="4607" width="11.42578125" style="33"/>
    <col min="4608" max="4608" width="7.28515625" style="33" customWidth="1"/>
    <col min="4609" max="4609" width="44.5703125" style="33" bestFit="1" customWidth="1"/>
    <col min="4610" max="4610" width="14" style="33" customWidth="1"/>
    <col min="4611" max="4611" width="18.28515625" style="33" customWidth="1"/>
    <col min="4612" max="4612" width="17.7109375" style="33" customWidth="1"/>
    <col min="4613" max="4613" width="20.140625" style="33" customWidth="1"/>
    <col min="4614" max="4614" width="15.85546875" style="33" bestFit="1" customWidth="1"/>
    <col min="4615" max="4615" width="16.85546875" style="33" customWidth="1"/>
    <col min="4616" max="4616" width="15.85546875" style="33" bestFit="1" customWidth="1"/>
    <col min="4617" max="4617" width="16.42578125" style="33" bestFit="1" customWidth="1"/>
    <col min="4618" max="4618" width="9.42578125" style="33" customWidth="1"/>
    <col min="4619" max="4619" width="17.7109375" style="33" customWidth="1"/>
    <col min="4620" max="4863" width="11.42578125" style="33"/>
    <col min="4864" max="4864" width="7.28515625" style="33" customWidth="1"/>
    <col min="4865" max="4865" width="44.5703125" style="33" bestFit="1" customWidth="1"/>
    <col min="4866" max="4866" width="14" style="33" customWidth="1"/>
    <col min="4867" max="4867" width="18.28515625" style="33" customWidth="1"/>
    <col min="4868" max="4868" width="17.7109375" style="33" customWidth="1"/>
    <col min="4869" max="4869" width="20.140625" style="33" customWidth="1"/>
    <col min="4870" max="4870" width="15.85546875" style="33" bestFit="1" customWidth="1"/>
    <col min="4871" max="4871" width="16.85546875" style="33" customWidth="1"/>
    <col min="4872" max="4872" width="15.85546875" style="33" bestFit="1" customWidth="1"/>
    <col min="4873" max="4873" width="16.42578125" style="33" bestFit="1" customWidth="1"/>
    <col min="4874" max="4874" width="9.42578125" style="33" customWidth="1"/>
    <col min="4875" max="4875" width="17.7109375" style="33" customWidth="1"/>
    <col min="4876" max="5119" width="11.42578125" style="33"/>
    <col min="5120" max="5120" width="7.28515625" style="33" customWidth="1"/>
    <col min="5121" max="5121" width="44.5703125" style="33" bestFit="1" customWidth="1"/>
    <col min="5122" max="5122" width="14" style="33" customWidth="1"/>
    <col min="5123" max="5123" width="18.28515625" style="33" customWidth="1"/>
    <col min="5124" max="5124" width="17.7109375" style="33" customWidth="1"/>
    <col min="5125" max="5125" width="20.140625" style="33" customWidth="1"/>
    <col min="5126" max="5126" width="15.85546875" style="33" bestFit="1" customWidth="1"/>
    <col min="5127" max="5127" width="16.85546875" style="33" customWidth="1"/>
    <col min="5128" max="5128" width="15.85546875" style="33" bestFit="1" customWidth="1"/>
    <col min="5129" max="5129" width="16.42578125" style="33" bestFit="1" customWidth="1"/>
    <col min="5130" max="5130" width="9.42578125" style="33" customWidth="1"/>
    <col min="5131" max="5131" width="17.7109375" style="33" customWidth="1"/>
    <col min="5132" max="5375" width="11.42578125" style="33"/>
    <col min="5376" max="5376" width="7.28515625" style="33" customWidth="1"/>
    <col min="5377" max="5377" width="44.5703125" style="33" bestFit="1" customWidth="1"/>
    <col min="5378" max="5378" width="14" style="33" customWidth="1"/>
    <col min="5379" max="5379" width="18.28515625" style="33" customWidth="1"/>
    <col min="5380" max="5380" width="17.7109375" style="33" customWidth="1"/>
    <col min="5381" max="5381" width="20.140625" style="33" customWidth="1"/>
    <col min="5382" max="5382" width="15.85546875" style="33" bestFit="1" customWidth="1"/>
    <col min="5383" max="5383" width="16.85546875" style="33" customWidth="1"/>
    <col min="5384" max="5384" width="15.85546875" style="33" bestFit="1" customWidth="1"/>
    <col min="5385" max="5385" width="16.42578125" style="33" bestFit="1" customWidth="1"/>
    <col min="5386" max="5386" width="9.42578125" style="33" customWidth="1"/>
    <col min="5387" max="5387" width="17.7109375" style="33" customWidth="1"/>
    <col min="5388" max="5631" width="11.42578125" style="33"/>
    <col min="5632" max="5632" width="7.28515625" style="33" customWidth="1"/>
    <col min="5633" max="5633" width="44.5703125" style="33" bestFit="1" customWidth="1"/>
    <col min="5634" max="5634" width="14" style="33" customWidth="1"/>
    <col min="5635" max="5635" width="18.28515625" style="33" customWidth="1"/>
    <col min="5636" max="5636" width="17.7109375" style="33" customWidth="1"/>
    <col min="5637" max="5637" width="20.140625" style="33" customWidth="1"/>
    <col min="5638" max="5638" width="15.85546875" style="33" bestFit="1" customWidth="1"/>
    <col min="5639" max="5639" width="16.85546875" style="33" customWidth="1"/>
    <col min="5640" max="5640" width="15.85546875" style="33" bestFit="1" customWidth="1"/>
    <col min="5641" max="5641" width="16.42578125" style="33" bestFit="1" customWidth="1"/>
    <col min="5642" max="5642" width="9.42578125" style="33" customWidth="1"/>
    <col min="5643" max="5643" width="17.7109375" style="33" customWidth="1"/>
    <col min="5644" max="5887" width="11.42578125" style="33"/>
    <col min="5888" max="5888" width="7.28515625" style="33" customWidth="1"/>
    <col min="5889" max="5889" width="44.5703125" style="33" bestFit="1" customWidth="1"/>
    <col min="5890" max="5890" width="14" style="33" customWidth="1"/>
    <col min="5891" max="5891" width="18.28515625" style="33" customWidth="1"/>
    <col min="5892" max="5892" width="17.7109375" style="33" customWidth="1"/>
    <col min="5893" max="5893" width="20.140625" style="33" customWidth="1"/>
    <col min="5894" max="5894" width="15.85546875" style="33" bestFit="1" customWidth="1"/>
    <col min="5895" max="5895" width="16.85546875" style="33" customWidth="1"/>
    <col min="5896" max="5896" width="15.85546875" style="33" bestFit="1" customWidth="1"/>
    <col min="5897" max="5897" width="16.42578125" style="33" bestFit="1" customWidth="1"/>
    <col min="5898" max="5898" width="9.42578125" style="33" customWidth="1"/>
    <col min="5899" max="5899" width="17.7109375" style="33" customWidth="1"/>
    <col min="5900" max="6143" width="11.42578125" style="33"/>
    <col min="6144" max="6144" width="7.28515625" style="33" customWidth="1"/>
    <col min="6145" max="6145" width="44.5703125" style="33" bestFit="1" customWidth="1"/>
    <col min="6146" max="6146" width="14" style="33" customWidth="1"/>
    <col min="6147" max="6147" width="18.28515625" style="33" customWidth="1"/>
    <col min="6148" max="6148" width="17.7109375" style="33" customWidth="1"/>
    <col min="6149" max="6149" width="20.140625" style="33" customWidth="1"/>
    <col min="6150" max="6150" width="15.85546875" style="33" bestFit="1" customWidth="1"/>
    <col min="6151" max="6151" width="16.85546875" style="33" customWidth="1"/>
    <col min="6152" max="6152" width="15.85546875" style="33" bestFit="1" customWidth="1"/>
    <col min="6153" max="6153" width="16.42578125" style="33" bestFit="1" customWidth="1"/>
    <col min="6154" max="6154" width="9.42578125" style="33" customWidth="1"/>
    <col min="6155" max="6155" width="17.7109375" style="33" customWidth="1"/>
    <col min="6156" max="6399" width="11.42578125" style="33"/>
    <col min="6400" max="6400" width="7.28515625" style="33" customWidth="1"/>
    <col min="6401" max="6401" width="44.5703125" style="33" bestFit="1" customWidth="1"/>
    <col min="6402" max="6402" width="14" style="33" customWidth="1"/>
    <col min="6403" max="6403" width="18.28515625" style="33" customWidth="1"/>
    <col min="6404" max="6404" width="17.7109375" style="33" customWidth="1"/>
    <col min="6405" max="6405" width="20.140625" style="33" customWidth="1"/>
    <col min="6406" max="6406" width="15.85546875" style="33" bestFit="1" customWidth="1"/>
    <col min="6407" max="6407" width="16.85546875" style="33" customWidth="1"/>
    <col min="6408" max="6408" width="15.85546875" style="33" bestFit="1" customWidth="1"/>
    <col min="6409" max="6409" width="16.42578125" style="33" bestFit="1" customWidth="1"/>
    <col min="6410" max="6410" width="9.42578125" style="33" customWidth="1"/>
    <col min="6411" max="6411" width="17.7109375" style="33" customWidth="1"/>
    <col min="6412" max="6655" width="11.42578125" style="33"/>
    <col min="6656" max="6656" width="7.28515625" style="33" customWidth="1"/>
    <col min="6657" max="6657" width="44.5703125" style="33" bestFit="1" customWidth="1"/>
    <col min="6658" max="6658" width="14" style="33" customWidth="1"/>
    <col min="6659" max="6659" width="18.28515625" style="33" customWidth="1"/>
    <col min="6660" max="6660" width="17.7109375" style="33" customWidth="1"/>
    <col min="6661" max="6661" width="20.140625" style="33" customWidth="1"/>
    <col min="6662" max="6662" width="15.85546875" style="33" bestFit="1" customWidth="1"/>
    <col min="6663" max="6663" width="16.85546875" style="33" customWidth="1"/>
    <col min="6664" max="6664" width="15.85546875" style="33" bestFit="1" customWidth="1"/>
    <col min="6665" max="6665" width="16.42578125" style="33" bestFit="1" customWidth="1"/>
    <col min="6666" max="6666" width="9.42578125" style="33" customWidth="1"/>
    <col min="6667" max="6667" width="17.7109375" style="33" customWidth="1"/>
    <col min="6668" max="6911" width="11.42578125" style="33"/>
    <col min="6912" max="6912" width="7.28515625" style="33" customWidth="1"/>
    <col min="6913" max="6913" width="44.5703125" style="33" bestFit="1" customWidth="1"/>
    <col min="6914" max="6914" width="14" style="33" customWidth="1"/>
    <col min="6915" max="6915" width="18.28515625" style="33" customWidth="1"/>
    <col min="6916" max="6916" width="17.7109375" style="33" customWidth="1"/>
    <col min="6917" max="6917" width="20.140625" style="33" customWidth="1"/>
    <col min="6918" max="6918" width="15.85546875" style="33" bestFit="1" customWidth="1"/>
    <col min="6919" max="6919" width="16.85546875" style="33" customWidth="1"/>
    <col min="6920" max="6920" width="15.85546875" style="33" bestFit="1" customWidth="1"/>
    <col min="6921" max="6921" width="16.42578125" style="33" bestFit="1" customWidth="1"/>
    <col min="6922" max="6922" width="9.42578125" style="33" customWidth="1"/>
    <col min="6923" max="6923" width="17.7109375" style="33" customWidth="1"/>
    <col min="6924" max="7167" width="11.42578125" style="33"/>
    <col min="7168" max="7168" width="7.28515625" style="33" customWidth="1"/>
    <col min="7169" max="7169" width="44.5703125" style="33" bestFit="1" customWidth="1"/>
    <col min="7170" max="7170" width="14" style="33" customWidth="1"/>
    <col min="7171" max="7171" width="18.28515625" style="33" customWidth="1"/>
    <col min="7172" max="7172" width="17.7109375" style="33" customWidth="1"/>
    <col min="7173" max="7173" width="20.140625" style="33" customWidth="1"/>
    <col min="7174" max="7174" width="15.85546875" style="33" bestFit="1" customWidth="1"/>
    <col min="7175" max="7175" width="16.85546875" style="33" customWidth="1"/>
    <col min="7176" max="7176" width="15.85546875" style="33" bestFit="1" customWidth="1"/>
    <col min="7177" max="7177" width="16.42578125" style="33" bestFit="1" customWidth="1"/>
    <col min="7178" max="7178" width="9.42578125" style="33" customWidth="1"/>
    <col min="7179" max="7179" width="17.7109375" style="33" customWidth="1"/>
    <col min="7180" max="7423" width="11.42578125" style="33"/>
    <col min="7424" max="7424" width="7.28515625" style="33" customWidth="1"/>
    <col min="7425" max="7425" width="44.5703125" style="33" bestFit="1" customWidth="1"/>
    <col min="7426" max="7426" width="14" style="33" customWidth="1"/>
    <col min="7427" max="7427" width="18.28515625" style="33" customWidth="1"/>
    <col min="7428" max="7428" width="17.7109375" style="33" customWidth="1"/>
    <col min="7429" max="7429" width="20.140625" style="33" customWidth="1"/>
    <col min="7430" max="7430" width="15.85546875" style="33" bestFit="1" customWidth="1"/>
    <col min="7431" max="7431" width="16.85546875" style="33" customWidth="1"/>
    <col min="7432" max="7432" width="15.85546875" style="33" bestFit="1" customWidth="1"/>
    <col min="7433" max="7433" width="16.42578125" style="33" bestFit="1" customWidth="1"/>
    <col min="7434" max="7434" width="9.42578125" style="33" customWidth="1"/>
    <col min="7435" max="7435" width="17.7109375" style="33" customWidth="1"/>
    <col min="7436" max="7679" width="11.42578125" style="33"/>
    <col min="7680" max="7680" width="7.28515625" style="33" customWidth="1"/>
    <col min="7681" max="7681" width="44.5703125" style="33" bestFit="1" customWidth="1"/>
    <col min="7682" max="7682" width="14" style="33" customWidth="1"/>
    <col min="7683" max="7683" width="18.28515625" style="33" customWidth="1"/>
    <col min="7684" max="7684" width="17.7109375" style="33" customWidth="1"/>
    <col min="7685" max="7685" width="20.140625" style="33" customWidth="1"/>
    <col min="7686" max="7686" width="15.85546875" style="33" bestFit="1" customWidth="1"/>
    <col min="7687" max="7687" width="16.85546875" style="33" customWidth="1"/>
    <col min="7688" max="7688" width="15.85546875" style="33" bestFit="1" customWidth="1"/>
    <col min="7689" max="7689" width="16.42578125" style="33" bestFit="1" customWidth="1"/>
    <col min="7690" max="7690" width="9.42578125" style="33" customWidth="1"/>
    <col min="7691" max="7691" width="17.7109375" style="33" customWidth="1"/>
    <col min="7692" max="7935" width="11.42578125" style="33"/>
    <col min="7936" max="7936" width="7.28515625" style="33" customWidth="1"/>
    <col min="7937" max="7937" width="44.5703125" style="33" bestFit="1" customWidth="1"/>
    <col min="7938" max="7938" width="14" style="33" customWidth="1"/>
    <col min="7939" max="7939" width="18.28515625" style="33" customWidth="1"/>
    <col min="7940" max="7940" width="17.7109375" style="33" customWidth="1"/>
    <col min="7941" max="7941" width="20.140625" style="33" customWidth="1"/>
    <col min="7942" max="7942" width="15.85546875" style="33" bestFit="1" customWidth="1"/>
    <col min="7943" max="7943" width="16.85546875" style="33" customWidth="1"/>
    <col min="7944" max="7944" width="15.85546875" style="33" bestFit="1" customWidth="1"/>
    <col min="7945" max="7945" width="16.42578125" style="33" bestFit="1" customWidth="1"/>
    <col min="7946" max="7946" width="9.42578125" style="33" customWidth="1"/>
    <col min="7947" max="7947" width="17.7109375" style="33" customWidth="1"/>
    <col min="7948" max="8191" width="11.42578125" style="33"/>
    <col min="8192" max="8192" width="7.28515625" style="33" customWidth="1"/>
    <col min="8193" max="8193" width="44.5703125" style="33" bestFit="1" customWidth="1"/>
    <col min="8194" max="8194" width="14" style="33" customWidth="1"/>
    <col min="8195" max="8195" width="18.28515625" style="33" customWidth="1"/>
    <col min="8196" max="8196" width="17.7109375" style="33" customWidth="1"/>
    <col min="8197" max="8197" width="20.140625" style="33" customWidth="1"/>
    <col min="8198" max="8198" width="15.85546875" style="33" bestFit="1" customWidth="1"/>
    <col min="8199" max="8199" width="16.85546875" style="33" customWidth="1"/>
    <col min="8200" max="8200" width="15.85546875" style="33" bestFit="1" customWidth="1"/>
    <col min="8201" max="8201" width="16.42578125" style="33" bestFit="1" customWidth="1"/>
    <col min="8202" max="8202" width="9.42578125" style="33" customWidth="1"/>
    <col min="8203" max="8203" width="17.7109375" style="33" customWidth="1"/>
    <col min="8204" max="8447" width="11.42578125" style="33"/>
    <col min="8448" max="8448" width="7.28515625" style="33" customWidth="1"/>
    <col min="8449" max="8449" width="44.5703125" style="33" bestFit="1" customWidth="1"/>
    <col min="8450" max="8450" width="14" style="33" customWidth="1"/>
    <col min="8451" max="8451" width="18.28515625" style="33" customWidth="1"/>
    <col min="8452" max="8452" width="17.7109375" style="33" customWidth="1"/>
    <col min="8453" max="8453" width="20.140625" style="33" customWidth="1"/>
    <col min="8454" max="8454" width="15.85546875" style="33" bestFit="1" customWidth="1"/>
    <col min="8455" max="8455" width="16.85546875" style="33" customWidth="1"/>
    <col min="8456" max="8456" width="15.85546875" style="33" bestFit="1" customWidth="1"/>
    <col min="8457" max="8457" width="16.42578125" style="33" bestFit="1" customWidth="1"/>
    <col min="8458" max="8458" width="9.42578125" style="33" customWidth="1"/>
    <col min="8459" max="8459" width="17.7109375" style="33" customWidth="1"/>
    <col min="8460" max="8703" width="11.42578125" style="33"/>
    <col min="8704" max="8704" width="7.28515625" style="33" customWidth="1"/>
    <col min="8705" max="8705" width="44.5703125" style="33" bestFit="1" customWidth="1"/>
    <col min="8706" max="8706" width="14" style="33" customWidth="1"/>
    <col min="8707" max="8707" width="18.28515625" style="33" customWidth="1"/>
    <col min="8708" max="8708" width="17.7109375" style="33" customWidth="1"/>
    <col min="8709" max="8709" width="20.140625" style="33" customWidth="1"/>
    <col min="8710" max="8710" width="15.85546875" style="33" bestFit="1" customWidth="1"/>
    <col min="8711" max="8711" width="16.85546875" style="33" customWidth="1"/>
    <col min="8712" max="8712" width="15.85546875" style="33" bestFit="1" customWidth="1"/>
    <col min="8713" max="8713" width="16.42578125" style="33" bestFit="1" customWidth="1"/>
    <col min="8714" max="8714" width="9.42578125" style="33" customWidth="1"/>
    <col min="8715" max="8715" width="17.7109375" style="33" customWidth="1"/>
    <col min="8716" max="8959" width="11.42578125" style="33"/>
    <col min="8960" max="8960" width="7.28515625" style="33" customWidth="1"/>
    <col min="8961" max="8961" width="44.5703125" style="33" bestFit="1" customWidth="1"/>
    <col min="8962" max="8962" width="14" style="33" customWidth="1"/>
    <col min="8963" max="8963" width="18.28515625" style="33" customWidth="1"/>
    <col min="8964" max="8964" width="17.7109375" style="33" customWidth="1"/>
    <col min="8965" max="8965" width="20.140625" style="33" customWidth="1"/>
    <col min="8966" max="8966" width="15.85546875" style="33" bestFit="1" customWidth="1"/>
    <col min="8967" max="8967" width="16.85546875" style="33" customWidth="1"/>
    <col min="8968" max="8968" width="15.85546875" style="33" bestFit="1" customWidth="1"/>
    <col min="8969" max="8969" width="16.42578125" style="33" bestFit="1" customWidth="1"/>
    <col min="8970" max="8970" width="9.42578125" style="33" customWidth="1"/>
    <col min="8971" max="8971" width="17.7109375" style="33" customWidth="1"/>
    <col min="8972" max="9215" width="11.42578125" style="33"/>
    <col min="9216" max="9216" width="7.28515625" style="33" customWidth="1"/>
    <col min="9217" max="9217" width="44.5703125" style="33" bestFit="1" customWidth="1"/>
    <col min="9218" max="9218" width="14" style="33" customWidth="1"/>
    <col min="9219" max="9219" width="18.28515625" style="33" customWidth="1"/>
    <col min="9220" max="9220" width="17.7109375" style="33" customWidth="1"/>
    <col min="9221" max="9221" width="20.140625" style="33" customWidth="1"/>
    <col min="9222" max="9222" width="15.85546875" style="33" bestFit="1" customWidth="1"/>
    <col min="9223" max="9223" width="16.85546875" style="33" customWidth="1"/>
    <col min="9224" max="9224" width="15.85546875" style="33" bestFit="1" customWidth="1"/>
    <col min="9225" max="9225" width="16.42578125" style="33" bestFit="1" customWidth="1"/>
    <col min="9226" max="9226" width="9.42578125" style="33" customWidth="1"/>
    <col min="9227" max="9227" width="17.7109375" style="33" customWidth="1"/>
    <col min="9228" max="9471" width="11.42578125" style="33"/>
    <col min="9472" max="9472" width="7.28515625" style="33" customWidth="1"/>
    <col min="9473" max="9473" width="44.5703125" style="33" bestFit="1" customWidth="1"/>
    <col min="9474" max="9474" width="14" style="33" customWidth="1"/>
    <col min="9475" max="9475" width="18.28515625" style="33" customWidth="1"/>
    <col min="9476" max="9476" width="17.7109375" style="33" customWidth="1"/>
    <col min="9477" max="9477" width="20.140625" style="33" customWidth="1"/>
    <col min="9478" max="9478" width="15.85546875" style="33" bestFit="1" customWidth="1"/>
    <col min="9479" max="9479" width="16.85546875" style="33" customWidth="1"/>
    <col min="9480" max="9480" width="15.85546875" style="33" bestFit="1" customWidth="1"/>
    <col min="9481" max="9481" width="16.42578125" style="33" bestFit="1" customWidth="1"/>
    <col min="9482" max="9482" width="9.42578125" style="33" customWidth="1"/>
    <col min="9483" max="9483" width="17.7109375" style="33" customWidth="1"/>
    <col min="9484" max="9727" width="11.42578125" style="33"/>
    <col min="9728" max="9728" width="7.28515625" style="33" customWidth="1"/>
    <col min="9729" max="9729" width="44.5703125" style="33" bestFit="1" customWidth="1"/>
    <col min="9730" max="9730" width="14" style="33" customWidth="1"/>
    <col min="9731" max="9731" width="18.28515625" style="33" customWidth="1"/>
    <col min="9732" max="9732" width="17.7109375" style="33" customWidth="1"/>
    <col min="9733" max="9733" width="20.140625" style="33" customWidth="1"/>
    <col min="9734" max="9734" width="15.85546875" style="33" bestFit="1" customWidth="1"/>
    <col min="9735" max="9735" width="16.85546875" style="33" customWidth="1"/>
    <col min="9736" max="9736" width="15.85546875" style="33" bestFit="1" customWidth="1"/>
    <col min="9737" max="9737" width="16.42578125" style="33" bestFit="1" customWidth="1"/>
    <col min="9738" max="9738" width="9.42578125" style="33" customWidth="1"/>
    <col min="9739" max="9739" width="17.7109375" style="33" customWidth="1"/>
    <col min="9740" max="9983" width="11.42578125" style="33"/>
    <col min="9984" max="9984" width="7.28515625" style="33" customWidth="1"/>
    <col min="9985" max="9985" width="44.5703125" style="33" bestFit="1" customWidth="1"/>
    <col min="9986" max="9986" width="14" style="33" customWidth="1"/>
    <col min="9987" max="9987" width="18.28515625" style="33" customWidth="1"/>
    <col min="9988" max="9988" width="17.7109375" style="33" customWidth="1"/>
    <col min="9989" max="9989" width="20.140625" style="33" customWidth="1"/>
    <col min="9990" max="9990" width="15.85546875" style="33" bestFit="1" customWidth="1"/>
    <col min="9991" max="9991" width="16.85546875" style="33" customWidth="1"/>
    <col min="9992" max="9992" width="15.85546875" style="33" bestFit="1" customWidth="1"/>
    <col min="9993" max="9993" width="16.42578125" style="33" bestFit="1" customWidth="1"/>
    <col min="9994" max="9994" width="9.42578125" style="33" customWidth="1"/>
    <col min="9995" max="9995" width="17.7109375" style="33" customWidth="1"/>
    <col min="9996" max="10239" width="11.42578125" style="33"/>
    <col min="10240" max="10240" width="7.28515625" style="33" customWidth="1"/>
    <col min="10241" max="10241" width="44.5703125" style="33" bestFit="1" customWidth="1"/>
    <col min="10242" max="10242" width="14" style="33" customWidth="1"/>
    <col min="10243" max="10243" width="18.28515625" style="33" customWidth="1"/>
    <col min="10244" max="10244" width="17.7109375" style="33" customWidth="1"/>
    <col min="10245" max="10245" width="20.140625" style="33" customWidth="1"/>
    <col min="10246" max="10246" width="15.85546875" style="33" bestFit="1" customWidth="1"/>
    <col min="10247" max="10247" width="16.85546875" style="33" customWidth="1"/>
    <col min="10248" max="10248" width="15.85546875" style="33" bestFit="1" customWidth="1"/>
    <col min="10249" max="10249" width="16.42578125" style="33" bestFit="1" customWidth="1"/>
    <col min="10250" max="10250" width="9.42578125" style="33" customWidth="1"/>
    <col min="10251" max="10251" width="17.7109375" style="33" customWidth="1"/>
    <col min="10252" max="10495" width="11.42578125" style="33"/>
    <col min="10496" max="10496" width="7.28515625" style="33" customWidth="1"/>
    <col min="10497" max="10497" width="44.5703125" style="33" bestFit="1" customWidth="1"/>
    <col min="10498" max="10498" width="14" style="33" customWidth="1"/>
    <col min="10499" max="10499" width="18.28515625" style="33" customWidth="1"/>
    <col min="10500" max="10500" width="17.7109375" style="33" customWidth="1"/>
    <col min="10501" max="10501" width="20.140625" style="33" customWidth="1"/>
    <col min="10502" max="10502" width="15.85546875" style="33" bestFit="1" customWidth="1"/>
    <col min="10503" max="10503" width="16.85546875" style="33" customWidth="1"/>
    <col min="10504" max="10504" width="15.85546875" style="33" bestFit="1" customWidth="1"/>
    <col min="10505" max="10505" width="16.42578125" style="33" bestFit="1" customWidth="1"/>
    <col min="10506" max="10506" width="9.42578125" style="33" customWidth="1"/>
    <col min="10507" max="10507" width="17.7109375" style="33" customWidth="1"/>
    <col min="10508" max="10751" width="11.42578125" style="33"/>
    <col min="10752" max="10752" width="7.28515625" style="33" customWidth="1"/>
    <col min="10753" max="10753" width="44.5703125" style="33" bestFit="1" customWidth="1"/>
    <col min="10754" max="10754" width="14" style="33" customWidth="1"/>
    <col min="10755" max="10755" width="18.28515625" style="33" customWidth="1"/>
    <col min="10756" max="10756" width="17.7109375" style="33" customWidth="1"/>
    <col min="10757" max="10757" width="20.140625" style="33" customWidth="1"/>
    <col min="10758" max="10758" width="15.85546875" style="33" bestFit="1" customWidth="1"/>
    <col min="10759" max="10759" width="16.85546875" style="33" customWidth="1"/>
    <col min="10760" max="10760" width="15.85546875" style="33" bestFit="1" customWidth="1"/>
    <col min="10761" max="10761" width="16.42578125" style="33" bestFit="1" customWidth="1"/>
    <col min="10762" max="10762" width="9.42578125" style="33" customWidth="1"/>
    <col min="10763" max="10763" width="17.7109375" style="33" customWidth="1"/>
    <col min="10764" max="11007" width="11.42578125" style="33"/>
    <col min="11008" max="11008" width="7.28515625" style="33" customWidth="1"/>
    <col min="11009" max="11009" width="44.5703125" style="33" bestFit="1" customWidth="1"/>
    <col min="11010" max="11010" width="14" style="33" customWidth="1"/>
    <col min="11011" max="11011" width="18.28515625" style="33" customWidth="1"/>
    <col min="11012" max="11012" width="17.7109375" style="33" customWidth="1"/>
    <col min="11013" max="11013" width="20.140625" style="33" customWidth="1"/>
    <col min="11014" max="11014" width="15.85546875" style="33" bestFit="1" customWidth="1"/>
    <col min="11015" max="11015" width="16.85546875" style="33" customWidth="1"/>
    <col min="11016" max="11016" width="15.85546875" style="33" bestFit="1" customWidth="1"/>
    <col min="11017" max="11017" width="16.42578125" style="33" bestFit="1" customWidth="1"/>
    <col min="11018" max="11018" width="9.42578125" style="33" customWidth="1"/>
    <col min="11019" max="11019" width="17.7109375" style="33" customWidth="1"/>
    <col min="11020" max="11263" width="11.42578125" style="33"/>
    <col min="11264" max="11264" width="7.28515625" style="33" customWidth="1"/>
    <col min="11265" max="11265" width="44.5703125" style="33" bestFit="1" customWidth="1"/>
    <col min="11266" max="11266" width="14" style="33" customWidth="1"/>
    <col min="11267" max="11267" width="18.28515625" style="33" customWidth="1"/>
    <col min="11268" max="11268" width="17.7109375" style="33" customWidth="1"/>
    <col min="11269" max="11269" width="20.140625" style="33" customWidth="1"/>
    <col min="11270" max="11270" width="15.85546875" style="33" bestFit="1" customWidth="1"/>
    <col min="11271" max="11271" width="16.85546875" style="33" customWidth="1"/>
    <col min="11272" max="11272" width="15.85546875" style="33" bestFit="1" customWidth="1"/>
    <col min="11273" max="11273" width="16.42578125" style="33" bestFit="1" customWidth="1"/>
    <col min="11274" max="11274" width="9.42578125" style="33" customWidth="1"/>
    <col min="11275" max="11275" width="17.7109375" style="33" customWidth="1"/>
    <col min="11276" max="11519" width="11.42578125" style="33"/>
    <col min="11520" max="11520" width="7.28515625" style="33" customWidth="1"/>
    <col min="11521" max="11521" width="44.5703125" style="33" bestFit="1" customWidth="1"/>
    <col min="11522" max="11522" width="14" style="33" customWidth="1"/>
    <col min="11523" max="11523" width="18.28515625" style="33" customWidth="1"/>
    <col min="11524" max="11524" width="17.7109375" style="33" customWidth="1"/>
    <col min="11525" max="11525" width="20.140625" style="33" customWidth="1"/>
    <col min="11526" max="11526" width="15.85546875" style="33" bestFit="1" customWidth="1"/>
    <col min="11527" max="11527" width="16.85546875" style="33" customWidth="1"/>
    <col min="11528" max="11528" width="15.85546875" style="33" bestFit="1" customWidth="1"/>
    <col min="11529" max="11529" width="16.42578125" style="33" bestFit="1" customWidth="1"/>
    <col min="11530" max="11530" width="9.42578125" style="33" customWidth="1"/>
    <col min="11531" max="11531" width="17.7109375" style="33" customWidth="1"/>
    <col min="11532" max="11775" width="11.42578125" style="33"/>
    <col min="11776" max="11776" width="7.28515625" style="33" customWidth="1"/>
    <col min="11777" max="11777" width="44.5703125" style="33" bestFit="1" customWidth="1"/>
    <col min="11778" max="11778" width="14" style="33" customWidth="1"/>
    <col min="11779" max="11779" width="18.28515625" style="33" customWidth="1"/>
    <col min="11780" max="11780" width="17.7109375" style="33" customWidth="1"/>
    <col min="11781" max="11781" width="20.140625" style="33" customWidth="1"/>
    <col min="11782" max="11782" width="15.85546875" style="33" bestFit="1" customWidth="1"/>
    <col min="11783" max="11783" width="16.85546875" style="33" customWidth="1"/>
    <col min="11784" max="11784" width="15.85546875" style="33" bestFit="1" customWidth="1"/>
    <col min="11785" max="11785" width="16.42578125" style="33" bestFit="1" customWidth="1"/>
    <col min="11786" max="11786" width="9.42578125" style="33" customWidth="1"/>
    <col min="11787" max="11787" width="17.7109375" style="33" customWidth="1"/>
    <col min="11788" max="12031" width="11.42578125" style="33"/>
    <col min="12032" max="12032" width="7.28515625" style="33" customWidth="1"/>
    <col min="12033" max="12033" width="44.5703125" style="33" bestFit="1" customWidth="1"/>
    <col min="12034" max="12034" width="14" style="33" customWidth="1"/>
    <col min="12035" max="12035" width="18.28515625" style="33" customWidth="1"/>
    <col min="12036" max="12036" width="17.7109375" style="33" customWidth="1"/>
    <col min="12037" max="12037" width="20.140625" style="33" customWidth="1"/>
    <col min="12038" max="12038" width="15.85546875" style="33" bestFit="1" customWidth="1"/>
    <col min="12039" max="12039" width="16.85546875" style="33" customWidth="1"/>
    <col min="12040" max="12040" width="15.85546875" style="33" bestFit="1" customWidth="1"/>
    <col min="12041" max="12041" width="16.42578125" style="33" bestFit="1" customWidth="1"/>
    <col min="12042" max="12042" width="9.42578125" style="33" customWidth="1"/>
    <col min="12043" max="12043" width="17.7109375" style="33" customWidth="1"/>
    <col min="12044" max="12287" width="11.42578125" style="33"/>
    <col min="12288" max="12288" width="7.28515625" style="33" customWidth="1"/>
    <col min="12289" max="12289" width="44.5703125" style="33" bestFit="1" customWidth="1"/>
    <col min="12290" max="12290" width="14" style="33" customWidth="1"/>
    <col min="12291" max="12291" width="18.28515625" style="33" customWidth="1"/>
    <col min="12292" max="12292" width="17.7109375" style="33" customWidth="1"/>
    <col min="12293" max="12293" width="20.140625" style="33" customWidth="1"/>
    <col min="12294" max="12294" width="15.85546875" style="33" bestFit="1" customWidth="1"/>
    <col min="12295" max="12295" width="16.85546875" style="33" customWidth="1"/>
    <col min="12296" max="12296" width="15.85546875" style="33" bestFit="1" customWidth="1"/>
    <col min="12297" max="12297" width="16.42578125" style="33" bestFit="1" customWidth="1"/>
    <col min="12298" max="12298" width="9.42578125" style="33" customWidth="1"/>
    <col min="12299" max="12299" width="17.7109375" style="33" customWidth="1"/>
    <col min="12300" max="12543" width="11.42578125" style="33"/>
    <col min="12544" max="12544" width="7.28515625" style="33" customWidth="1"/>
    <col min="12545" max="12545" width="44.5703125" style="33" bestFit="1" customWidth="1"/>
    <col min="12546" max="12546" width="14" style="33" customWidth="1"/>
    <col min="12547" max="12547" width="18.28515625" style="33" customWidth="1"/>
    <col min="12548" max="12548" width="17.7109375" style="33" customWidth="1"/>
    <col min="12549" max="12549" width="20.140625" style="33" customWidth="1"/>
    <col min="12550" max="12550" width="15.85546875" style="33" bestFit="1" customWidth="1"/>
    <col min="12551" max="12551" width="16.85546875" style="33" customWidth="1"/>
    <col min="12552" max="12552" width="15.85546875" style="33" bestFit="1" customWidth="1"/>
    <col min="12553" max="12553" width="16.42578125" style="33" bestFit="1" customWidth="1"/>
    <col min="12554" max="12554" width="9.42578125" style="33" customWidth="1"/>
    <col min="12555" max="12555" width="17.7109375" style="33" customWidth="1"/>
    <col min="12556" max="12799" width="11.42578125" style="33"/>
    <col min="12800" max="12800" width="7.28515625" style="33" customWidth="1"/>
    <col min="12801" max="12801" width="44.5703125" style="33" bestFit="1" customWidth="1"/>
    <col min="12802" max="12802" width="14" style="33" customWidth="1"/>
    <col min="12803" max="12803" width="18.28515625" style="33" customWidth="1"/>
    <col min="12804" max="12804" width="17.7109375" style="33" customWidth="1"/>
    <col min="12805" max="12805" width="20.140625" style="33" customWidth="1"/>
    <col min="12806" max="12806" width="15.85546875" style="33" bestFit="1" customWidth="1"/>
    <col min="12807" max="12807" width="16.85546875" style="33" customWidth="1"/>
    <col min="12808" max="12808" width="15.85546875" style="33" bestFit="1" customWidth="1"/>
    <col min="12809" max="12809" width="16.42578125" style="33" bestFit="1" customWidth="1"/>
    <col min="12810" max="12810" width="9.42578125" style="33" customWidth="1"/>
    <col min="12811" max="12811" width="17.7109375" style="33" customWidth="1"/>
    <col min="12812" max="13055" width="11.42578125" style="33"/>
    <col min="13056" max="13056" width="7.28515625" style="33" customWidth="1"/>
    <col min="13057" max="13057" width="44.5703125" style="33" bestFit="1" customWidth="1"/>
    <col min="13058" max="13058" width="14" style="33" customWidth="1"/>
    <col min="13059" max="13059" width="18.28515625" style="33" customWidth="1"/>
    <col min="13060" max="13060" width="17.7109375" style="33" customWidth="1"/>
    <col min="13061" max="13061" width="20.140625" style="33" customWidth="1"/>
    <col min="13062" max="13062" width="15.85546875" style="33" bestFit="1" customWidth="1"/>
    <col min="13063" max="13063" width="16.85546875" style="33" customWidth="1"/>
    <col min="13064" max="13064" width="15.85546875" style="33" bestFit="1" customWidth="1"/>
    <col min="13065" max="13065" width="16.42578125" style="33" bestFit="1" customWidth="1"/>
    <col min="13066" max="13066" width="9.42578125" style="33" customWidth="1"/>
    <col min="13067" max="13067" width="17.7109375" style="33" customWidth="1"/>
    <col min="13068" max="13311" width="11.42578125" style="33"/>
    <col min="13312" max="13312" width="7.28515625" style="33" customWidth="1"/>
    <col min="13313" max="13313" width="44.5703125" style="33" bestFit="1" customWidth="1"/>
    <col min="13314" max="13314" width="14" style="33" customWidth="1"/>
    <col min="13315" max="13315" width="18.28515625" style="33" customWidth="1"/>
    <col min="13316" max="13316" width="17.7109375" style="33" customWidth="1"/>
    <col min="13317" max="13317" width="20.140625" style="33" customWidth="1"/>
    <col min="13318" max="13318" width="15.85546875" style="33" bestFit="1" customWidth="1"/>
    <col min="13319" max="13319" width="16.85546875" style="33" customWidth="1"/>
    <col min="13320" max="13320" width="15.85546875" style="33" bestFit="1" customWidth="1"/>
    <col min="13321" max="13321" width="16.42578125" style="33" bestFit="1" customWidth="1"/>
    <col min="13322" max="13322" width="9.42578125" style="33" customWidth="1"/>
    <col min="13323" max="13323" width="17.7109375" style="33" customWidth="1"/>
    <col min="13324" max="13567" width="11.42578125" style="33"/>
    <col min="13568" max="13568" width="7.28515625" style="33" customWidth="1"/>
    <col min="13569" max="13569" width="44.5703125" style="33" bestFit="1" customWidth="1"/>
    <col min="13570" max="13570" width="14" style="33" customWidth="1"/>
    <col min="13571" max="13571" width="18.28515625" style="33" customWidth="1"/>
    <col min="13572" max="13572" width="17.7109375" style="33" customWidth="1"/>
    <col min="13573" max="13573" width="20.140625" style="33" customWidth="1"/>
    <col min="13574" max="13574" width="15.85546875" style="33" bestFit="1" customWidth="1"/>
    <col min="13575" max="13575" width="16.85546875" style="33" customWidth="1"/>
    <col min="13576" max="13576" width="15.85546875" style="33" bestFit="1" customWidth="1"/>
    <col min="13577" max="13577" width="16.42578125" style="33" bestFit="1" customWidth="1"/>
    <col min="13578" max="13578" width="9.42578125" style="33" customWidth="1"/>
    <col min="13579" max="13579" width="17.7109375" style="33" customWidth="1"/>
    <col min="13580" max="13823" width="11.42578125" style="33"/>
    <col min="13824" max="13824" width="7.28515625" style="33" customWidth="1"/>
    <col min="13825" max="13825" width="44.5703125" style="33" bestFit="1" customWidth="1"/>
    <col min="13826" max="13826" width="14" style="33" customWidth="1"/>
    <col min="13827" max="13827" width="18.28515625" style="33" customWidth="1"/>
    <col min="13828" max="13828" width="17.7109375" style="33" customWidth="1"/>
    <col min="13829" max="13829" width="20.140625" style="33" customWidth="1"/>
    <col min="13830" max="13830" width="15.85546875" style="33" bestFit="1" customWidth="1"/>
    <col min="13831" max="13831" width="16.85546875" style="33" customWidth="1"/>
    <col min="13832" max="13832" width="15.85546875" style="33" bestFit="1" customWidth="1"/>
    <col min="13833" max="13833" width="16.42578125" style="33" bestFit="1" customWidth="1"/>
    <col min="13834" max="13834" width="9.42578125" style="33" customWidth="1"/>
    <col min="13835" max="13835" width="17.7109375" style="33" customWidth="1"/>
    <col min="13836" max="14079" width="11.42578125" style="33"/>
    <col min="14080" max="14080" width="7.28515625" style="33" customWidth="1"/>
    <col min="14081" max="14081" width="44.5703125" style="33" bestFit="1" customWidth="1"/>
    <col min="14082" max="14082" width="14" style="33" customWidth="1"/>
    <col min="14083" max="14083" width="18.28515625" style="33" customWidth="1"/>
    <col min="14084" max="14084" width="17.7109375" style="33" customWidth="1"/>
    <col min="14085" max="14085" width="20.140625" style="33" customWidth="1"/>
    <col min="14086" max="14086" width="15.85546875" style="33" bestFit="1" customWidth="1"/>
    <col min="14087" max="14087" width="16.85546875" style="33" customWidth="1"/>
    <col min="14088" max="14088" width="15.85546875" style="33" bestFit="1" customWidth="1"/>
    <col min="14089" max="14089" width="16.42578125" style="33" bestFit="1" customWidth="1"/>
    <col min="14090" max="14090" width="9.42578125" style="33" customWidth="1"/>
    <col min="14091" max="14091" width="17.7109375" style="33" customWidth="1"/>
    <col min="14092" max="14335" width="11.42578125" style="33"/>
    <col min="14336" max="14336" width="7.28515625" style="33" customWidth="1"/>
    <col min="14337" max="14337" width="44.5703125" style="33" bestFit="1" customWidth="1"/>
    <col min="14338" max="14338" width="14" style="33" customWidth="1"/>
    <col min="14339" max="14339" width="18.28515625" style="33" customWidth="1"/>
    <col min="14340" max="14340" width="17.7109375" style="33" customWidth="1"/>
    <col min="14341" max="14341" width="20.140625" style="33" customWidth="1"/>
    <col min="14342" max="14342" width="15.85546875" style="33" bestFit="1" customWidth="1"/>
    <col min="14343" max="14343" width="16.85546875" style="33" customWidth="1"/>
    <col min="14344" max="14344" width="15.85546875" style="33" bestFit="1" customWidth="1"/>
    <col min="14345" max="14345" width="16.42578125" style="33" bestFit="1" customWidth="1"/>
    <col min="14346" max="14346" width="9.42578125" style="33" customWidth="1"/>
    <col min="14347" max="14347" width="17.7109375" style="33" customWidth="1"/>
    <col min="14348" max="14591" width="11.42578125" style="33"/>
    <col min="14592" max="14592" width="7.28515625" style="33" customWidth="1"/>
    <col min="14593" max="14593" width="44.5703125" style="33" bestFit="1" customWidth="1"/>
    <col min="14594" max="14594" width="14" style="33" customWidth="1"/>
    <col min="14595" max="14595" width="18.28515625" style="33" customWidth="1"/>
    <col min="14596" max="14596" width="17.7109375" style="33" customWidth="1"/>
    <col min="14597" max="14597" width="20.140625" style="33" customWidth="1"/>
    <col min="14598" max="14598" width="15.85546875" style="33" bestFit="1" customWidth="1"/>
    <col min="14599" max="14599" width="16.85546875" style="33" customWidth="1"/>
    <col min="14600" max="14600" width="15.85546875" style="33" bestFit="1" customWidth="1"/>
    <col min="14601" max="14601" width="16.42578125" style="33" bestFit="1" customWidth="1"/>
    <col min="14602" max="14602" width="9.42578125" style="33" customWidth="1"/>
    <col min="14603" max="14603" width="17.7109375" style="33" customWidth="1"/>
    <col min="14604" max="14847" width="11.42578125" style="33"/>
    <col min="14848" max="14848" width="7.28515625" style="33" customWidth="1"/>
    <col min="14849" max="14849" width="44.5703125" style="33" bestFit="1" customWidth="1"/>
    <col min="14850" max="14850" width="14" style="33" customWidth="1"/>
    <col min="14851" max="14851" width="18.28515625" style="33" customWidth="1"/>
    <col min="14852" max="14852" width="17.7109375" style="33" customWidth="1"/>
    <col min="14853" max="14853" width="20.140625" style="33" customWidth="1"/>
    <col min="14854" max="14854" width="15.85546875" style="33" bestFit="1" customWidth="1"/>
    <col min="14855" max="14855" width="16.85546875" style="33" customWidth="1"/>
    <col min="14856" max="14856" width="15.85546875" style="33" bestFit="1" customWidth="1"/>
    <col min="14857" max="14857" width="16.42578125" style="33" bestFit="1" customWidth="1"/>
    <col min="14858" max="14858" width="9.42578125" style="33" customWidth="1"/>
    <col min="14859" max="14859" width="17.7109375" style="33" customWidth="1"/>
    <col min="14860" max="15103" width="11.42578125" style="33"/>
    <col min="15104" max="15104" width="7.28515625" style="33" customWidth="1"/>
    <col min="15105" max="15105" width="44.5703125" style="33" bestFit="1" customWidth="1"/>
    <col min="15106" max="15106" width="14" style="33" customWidth="1"/>
    <col min="15107" max="15107" width="18.28515625" style="33" customWidth="1"/>
    <col min="15108" max="15108" width="17.7109375" style="33" customWidth="1"/>
    <col min="15109" max="15109" width="20.140625" style="33" customWidth="1"/>
    <col min="15110" max="15110" width="15.85546875" style="33" bestFit="1" customWidth="1"/>
    <col min="15111" max="15111" width="16.85546875" style="33" customWidth="1"/>
    <col min="15112" max="15112" width="15.85546875" style="33" bestFit="1" customWidth="1"/>
    <col min="15113" max="15113" width="16.42578125" style="33" bestFit="1" customWidth="1"/>
    <col min="15114" max="15114" width="9.42578125" style="33" customWidth="1"/>
    <col min="15115" max="15115" width="17.7109375" style="33" customWidth="1"/>
    <col min="15116" max="15359" width="11.42578125" style="33"/>
    <col min="15360" max="15360" width="7.28515625" style="33" customWidth="1"/>
    <col min="15361" max="15361" width="44.5703125" style="33" bestFit="1" customWidth="1"/>
    <col min="15362" max="15362" width="14" style="33" customWidth="1"/>
    <col min="15363" max="15363" width="18.28515625" style="33" customWidth="1"/>
    <col min="15364" max="15364" width="17.7109375" style="33" customWidth="1"/>
    <col min="15365" max="15365" width="20.140625" style="33" customWidth="1"/>
    <col min="15366" max="15366" width="15.85546875" style="33" bestFit="1" customWidth="1"/>
    <col min="15367" max="15367" width="16.85546875" style="33" customWidth="1"/>
    <col min="15368" max="15368" width="15.85546875" style="33" bestFit="1" customWidth="1"/>
    <col min="15369" max="15369" width="16.42578125" style="33" bestFit="1" customWidth="1"/>
    <col min="15370" max="15370" width="9.42578125" style="33" customWidth="1"/>
    <col min="15371" max="15371" width="17.7109375" style="33" customWidth="1"/>
    <col min="15372" max="15615" width="11.42578125" style="33"/>
    <col min="15616" max="15616" width="7.28515625" style="33" customWidth="1"/>
    <col min="15617" max="15617" width="44.5703125" style="33" bestFit="1" customWidth="1"/>
    <col min="15618" max="15618" width="14" style="33" customWidth="1"/>
    <col min="15619" max="15619" width="18.28515625" style="33" customWidth="1"/>
    <col min="15620" max="15620" width="17.7109375" style="33" customWidth="1"/>
    <col min="15621" max="15621" width="20.140625" style="33" customWidth="1"/>
    <col min="15622" max="15622" width="15.85546875" style="33" bestFit="1" customWidth="1"/>
    <col min="15623" max="15623" width="16.85546875" style="33" customWidth="1"/>
    <col min="15624" max="15624" width="15.85546875" style="33" bestFit="1" customWidth="1"/>
    <col min="15625" max="15625" width="16.42578125" style="33" bestFit="1" customWidth="1"/>
    <col min="15626" max="15626" width="9.42578125" style="33" customWidth="1"/>
    <col min="15627" max="15627" width="17.7109375" style="33" customWidth="1"/>
    <col min="15628" max="15871" width="11.42578125" style="33"/>
    <col min="15872" max="15872" width="7.28515625" style="33" customWidth="1"/>
    <col min="15873" max="15873" width="44.5703125" style="33" bestFit="1" customWidth="1"/>
    <col min="15874" max="15874" width="14" style="33" customWidth="1"/>
    <col min="15875" max="15875" width="18.28515625" style="33" customWidth="1"/>
    <col min="15876" max="15876" width="17.7109375" style="33" customWidth="1"/>
    <col min="15877" max="15877" width="20.140625" style="33" customWidth="1"/>
    <col min="15878" max="15878" width="15.85546875" style="33" bestFit="1" customWidth="1"/>
    <col min="15879" max="15879" width="16.85546875" style="33" customWidth="1"/>
    <col min="15880" max="15880" width="15.85546875" style="33" bestFit="1" customWidth="1"/>
    <col min="15881" max="15881" width="16.42578125" style="33" bestFit="1" customWidth="1"/>
    <col min="15882" max="15882" width="9.42578125" style="33" customWidth="1"/>
    <col min="15883" max="15883" width="17.7109375" style="33" customWidth="1"/>
    <col min="15884" max="16127" width="11.42578125" style="33"/>
    <col min="16128" max="16128" width="7.28515625" style="33" customWidth="1"/>
    <col min="16129" max="16129" width="44.5703125" style="33" bestFit="1" customWidth="1"/>
    <col min="16130" max="16130" width="14" style="33" customWidth="1"/>
    <col min="16131" max="16131" width="18.28515625" style="33" customWidth="1"/>
    <col min="16132" max="16132" width="17.7109375" style="33" customWidth="1"/>
    <col min="16133" max="16133" width="20.140625" style="33" customWidth="1"/>
    <col min="16134" max="16134" width="15.85546875" style="33" bestFit="1" customWidth="1"/>
    <col min="16135" max="16135" width="16.85546875" style="33" customWidth="1"/>
    <col min="16136" max="16136" width="15.85546875" style="33" bestFit="1" customWidth="1"/>
    <col min="16137" max="16137" width="16.42578125" style="33" bestFit="1" customWidth="1"/>
    <col min="16138" max="16138" width="9.42578125" style="33" customWidth="1"/>
    <col min="16139" max="16139" width="17.7109375" style="33" customWidth="1"/>
    <col min="16140" max="16384" width="11.42578125" style="33"/>
  </cols>
  <sheetData>
    <row r="2" spans="1:12" x14ac:dyDescent="0.2">
      <c r="B2" s="33" t="s">
        <v>73</v>
      </c>
    </row>
    <row r="5" spans="1:12" x14ac:dyDescent="0.2">
      <c r="B5" s="884"/>
      <c r="C5" s="884"/>
      <c r="D5" s="884"/>
      <c r="E5" s="884"/>
      <c r="F5" s="884"/>
    </row>
    <row r="6" spans="1:12" ht="15.75" x14ac:dyDescent="0.2">
      <c r="B6" s="880"/>
      <c r="C6" s="880"/>
      <c r="D6" s="880"/>
      <c r="E6" s="880"/>
      <c r="F6" s="880"/>
    </row>
    <row r="7" spans="1:12" ht="15.75" x14ac:dyDescent="0.2">
      <c r="A7" s="880"/>
      <c r="B7" s="880"/>
      <c r="C7" s="880"/>
      <c r="D7" s="880"/>
      <c r="E7" s="880"/>
      <c r="F7" s="880"/>
      <c r="G7" s="880"/>
      <c r="H7" s="880"/>
      <c r="I7" s="880"/>
      <c r="J7" s="880"/>
    </row>
    <row r="8" spans="1:12" ht="15.75" x14ac:dyDescent="0.2">
      <c r="A8" s="880" t="s">
        <v>74</v>
      </c>
      <c r="B8" s="880"/>
      <c r="C8" s="880"/>
      <c r="D8" s="880"/>
      <c r="E8" s="880"/>
      <c r="F8" s="880"/>
      <c r="G8" s="880"/>
      <c r="H8" s="880"/>
      <c r="I8" s="880"/>
      <c r="J8" s="880"/>
    </row>
    <row r="9" spans="1:12" ht="15.75" x14ac:dyDescent="0.2">
      <c r="B9" s="880" t="s">
        <v>586</v>
      </c>
      <c r="C9" s="880"/>
      <c r="D9" s="880"/>
      <c r="E9" s="880"/>
      <c r="F9" s="880"/>
      <c r="G9" s="880"/>
      <c r="H9" s="880"/>
      <c r="I9" s="880"/>
      <c r="J9" s="880"/>
    </row>
    <row r="10" spans="1:12" ht="16.5" thickBot="1" x14ac:dyDescent="0.25">
      <c r="B10" s="113"/>
      <c r="C10" s="113"/>
      <c r="D10" s="113"/>
      <c r="F10" s="113"/>
      <c r="G10" s="880"/>
      <c r="H10" s="880"/>
      <c r="I10" s="880"/>
      <c r="J10" s="113"/>
    </row>
    <row r="11" spans="1:12" s="112" customFormat="1" ht="39" thickBot="1" x14ac:dyDescent="0.25">
      <c r="A11" s="34" t="s">
        <v>43</v>
      </c>
      <c r="B11" s="35" t="s">
        <v>75</v>
      </c>
      <c r="C11" s="35" t="s">
        <v>46</v>
      </c>
      <c r="D11" s="36" t="s">
        <v>76</v>
      </c>
      <c r="E11" s="36" t="s">
        <v>77</v>
      </c>
      <c r="F11" s="36" t="s">
        <v>78</v>
      </c>
      <c r="G11" s="36" t="s">
        <v>79</v>
      </c>
      <c r="H11" s="36" t="s">
        <v>80</v>
      </c>
      <c r="I11" s="36" t="s">
        <v>81</v>
      </c>
      <c r="J11" s="36" t="s">
        <v>82</v>
      </c>
    </row>
    <row r="12" spans="1:12" ht="15.75" x14ac:dyDescent="0.25">
      <c r="A12" s="37">
        <v>1</v>
      </c>
      <c r="B12" s="97" t="s">
        <v>321</v>
      </c>
      <c r="C12" s="97" t="s">
        <v>91</v>
      </c>
      <c r="D12" s="210">
        <v>12</v>
      </c>
      <c r="E12" s="38">
        <v>4</v>
      </c>
      <c r="F12" s="39">
        <f t="shared" ref="F12:F19" si="0">G12+H12</f>
        <v>6481268.8300000001</v>
      </c>
      <c r="G12" s="39">
        <f>4440689.71</f>
        <v>4440689.71</v>
      </c>
      <c r="H12" s="40">
        <f t="shared" ref="H12:H18" si="1">I12+J12</f>
        <v>2040579.1199999999</v>
      </c>
      <c r="I12" s="40">
        <f>125614+1594761.44+82000+38485.48</f>
        <v>1840860.92</v>
      </c>
      <c r="J12" s="41">
        <f>26160.04+126390.54+47167.62</f>
        <v>199718.19999999998</v>
      </c>
      <c r="L12" s="33" t="s">
        <v>73</v>
      </c>
    </row>
    <row r="13" spans="1:12" ht="15.75" x14ac:dyDescent="0.25">
      <c r="A13" s="42">
        <v>2</v>
      </c>
      <c r="B13" s="97" t="s">
        <v>321</v>
      </c>
      <c r="C13" s="98" t="s">
        <v>59</v>
      </c>
      <c r="D13" s="211">
        <v>12</v>
      </c>
      <c r="E13" s="44">
        <v>3</v>
      </c>
      <c r="F13" s="39">
        <f t="shared" si="0"/>
        <v>6288249.2000000002</v>
      </c>
      <c r="G13" s="39">
        <f>4476867.73</f>
        <v>4476867.7300000004</v>
      </c>
      <c r="H13" s="39">
        <f t="shared" si="1"/>
        <v>1811381.47</v>
      </c>
      <c r="I13" s="39">
        <f>76000+24023.01+1641494.26+59500</f>
        <v>1801017.27</v>
      </c>
      <c r="J13" s="45">
        <v>10364.200000000001</v>
      </c>
    </row>
    <row r="14" spans="1:12" ht="15.75" x14ac:dyDescent="0.25">
      <c r="A14" s="42">
        <v>3</v>
      </c>
      <c r="B14" s="97" t="s">
        <v>321</v>
      </c>
      <c r="C14" s="98" t="s">
        <v>60</v>
      </c>
      <c r="D14" s="211">
        <v>12</v>
      </c>
      <c r="E14" s="46">
        <v>4</v>
      </c>
      <c r="F14" s="39">
        <f t="shared" si="0"/>
        <v>5635890.6200000001</v>
      </c>
      <c r="G14" s="39">
        <f>4730341.43</f>
        <v>4730341.43</v>
      </c>
      <c r="H14" s="39">
        <f t="shared" si="1"/>
        <v>905549.19000000006</v>
      </c>
      <c r="I14" s="39">
        <f>553808.85+6876.06+38000</f>
        <v>598684.91</v>
      </c>
      <c r="J14" s="45">
        <v>306864.28000000003</v>
      </c>
      <c r="L14" s="47"/>
    </row>
    <row r="15" spans="1:12" ht="15.75" x14ac:dyDescent="0.25">
      <c r="A15" s="42">
        <v>4</v>
      </c>
      <c r="B15" s="97" t="s">
        <v>321</v>
      </c>
      <c r="C15" s="98" t="s">
        <v>61</v>
      </c>
      <c r="D15" s="211">
        <v>12</v>
      </c>
      <c r="E15" s="46">
        <v>3</v>
      </c>
      <c r="F15" s="39">
        <f t="shared" si="0"/>
        <v>7218928.3400000008</v>
      </c>
      <c r="G15" s="39">
        <f>5898441.73</f>
        <v>5898441.7300000004</v>
      </c>
      <c r="H15" s="39">
        <f>I15+J15</f>
        <v>1320486.6100000001</v>
      </c>
      <c r="I15" s="39">
        <f>91500+1143951.86+23436.31+2400+36461.06</f>
        <v>1297749.2300000002</v>
      </c>
      <c r="J15" s="45">
        <v>22737.38</v>
      </c>
      <c r="L15" s="47"/>
    </row>
    <row r="16" spans="1:12" ht="15.75" x14ac:dyDescent="0.25">
      <c r="A16" s="42">
        <v>5</v>
      </c>
      <c r="B16" s="97" t="s">
        <v>321</v>
      </c>
      <c r="C16" s="98" t="s">
        <v>62</v>
      </c>
      <c r="D16" s="211">
        <v>12</v>
      </c>
      <c r="E16" s="46">
        <v>3</v>
      </c>
      <c r="F16" s="39">
        <f t="shared" si="0"/>
        <v>5774948.2599999998</v>
      </c>
      <c r="G16" s="39">
        <v>4779210.66</v>
      </c>
      <c r="H16" s="39">
        <f t="shared" si="1"/>
        <v>995737.59999999998</v>
      </c>
      <c r="I16" s="39">
        <f>858278.16+109500+12862.82</f>
        <v>980640.98</v>
      </c>
      <c r="J16" s="45">
        <v>15096.62</v>
      </c>
      <c r="L16" s="47"/>
    </row>
    <row r="17" spans="1:12" ht="15.75" x14ac:dyDescent="0.25">
      <c r="A17" s="42">
        <v>6</v>
      </c>
      <c r="B17" s="97" t="s">
        <v>321</v>
      </c>
      <c r="C17" s="98" t="s">
        <v>63</v>
      </c>
      <c r="D17" s="211">
        <v>12</v>
      </c>
      <c r="E17" s="46">
        <v>2</v>
      </c>
      <c r="F17" s="39">
        <f t="shared" si="0"/>
        <v>5033542.99</v>
      </c>
      <c r="G17" s="39">
        <v>4624677.5</v>
      </c>
      <c r="H17" s="39">
        <f t="shared" si="1"/>
        <v>408865.49</v>
      </c>
      <c r="I17" s="39">
        <f>326365.49+82500</f>
        <v>408865.49</v>
      </c>
      <c r="J17" s="45">
        <v>0</v>
      </c>
    </row>
    <row r="18" spans="1:12" ht="15.75" x14ac:dyDescent="0.25">
      <c r="A18" s="42">
        <v>7</v>
      </c>
      <c r="B18" s="97" t="s">
        <v>321</v>
      </c>
      <c r="C18" s="98" t="s">
        <v>64</v>
      </c>
      <c r="D18" s="46">
        <v>12</v>
      </c>
      <c r="E18" s="46">
        <v>4</v>
      </c>
      <c r="F18" s="39">
        <f t="shared" si="0"/>
        <v>6929632.8100000005</v>
      </c>
      <c r="G18" s="39">
        <v>5642448.4100000001</v>
      </c>
      <c r="H18" s="39">
        <f t="shared" si="1"/>
        <v>1287184.3999999999</v>
      </c>
      <c r="I18" s="39">
        <f>131807+476432.68+46912.23+543388.01</f>
        <v>1198539.92</v>
      </c>
      <c r="J18" s="45">
        <f>9441.06+70577.42+8626</f>
        <v>88644.479999999996</v>
      </c>
      <c r="L18" s="47"/>
    </row>
    <row r="19" spans="1:12" ht="15.75" x14ac:dyDescent="0.25">
      <c r="A19" s="42">
        <v>8</v>
      </c>
      <c r="B19" s="97" t="s">
        <v>321</v>
      </c>
      <c r="C19" s="98" t="s">
        <v>65</v>
      </c>
      <c r="D19" s="211">
        <v>12</v>
      </c>
      <c r="E19" s="46">
        <v>3</v>
      </c>
      <c r="F19" s="39">
        <f t="shared" si="0"/>
        <v>4636133.8999999994</v>
      </c>
      <c r="G19" s="39">
        <f>4186258.32</f>
        <v>4186258.32</v>
      </c>
      <c r="H19" s="39">
        <f t="shared" ref="H19:H23" si="2">J19+I19</f>
        <v>449875.57999999996</v>
      </c>
      <c r="I19" s="39">
        <f>321230.8+88000+22466.78</f>
        <v>431697.57999999996</v>
      </c>
      <c r="J19" s="45">
        <v>18178</v>
      </c>
      <c r="L19" s="47"/>
    </row>
    <row r="20" spans="1:12" ht="15.75" x14ac:dyDescent="0.25">
      <c r="A20" s="42">
        <v>9</v>
      </c>
      <c r="B20" s="97" t="s">
        <v>321</v>
      </c>
      <c r="C20" s="98" t="s">
        <v>66</v>
      </c>
      <c r="D20" s="211">
        <v>12</v>
      </c>
      <c r="E20" s="46"/>
      <c r="F20" s="39">
        <f t="shared" ref="F20:F25" si="3">G20+H20</f>
        <v>0</v>
      </c>
      <c r="G20" s="39"/>
      <c r="H20" s="39">
        <f t="shared" si="2"/>
        <v>0</v>
      </c>
      <c r="I20" s="39"/>
      <c r="J20" s="45"/>
      <c r="L20" s="47"/>
    </row>
    <row r="21" spans="1:12" ht="15.75" x14ac:dyDescent="0.25">
      <c r="A21" s="42">
        <v>10</v>
      </c>
      <c r="B21" s="97" t="s">
        <v>321</v>
      </c>
      <c r="C21" s="98" t="s">
        <v>67</v>
      </c>
      <c r="D21" s="211">
        <v>12</v>
      </c>
      <c r="E21" s="46"/>
      <c r="F21" s="39">
        <f t="shared" si="3"/>
        <v>0</v>
      </c>
      <c r="G21" s="39"/>
      <c r="H21" s="39">
        <f t="shared" si="2"/>
        <v>0</v>
      </c>
      <c r="I21" s="39"/>
      <c r="J21" s="45"/>
      <c r="L21" s="47"/>
    </row>
    <row r="22" spans="1:12" ht="15.75" x14ac:dyDescent="0.25">
      <c r="A22" s="42">
        <v>11</v>
      </c>
      <c r="B22" s="97" t="s">
        <v>321</v>
      </c>
      <c r="C22" s="98" t="s">
        <v>68</v>
      </c>
      <c r="D22" s="211">
        <v>12</v>
      </c>
      <c r="E22" s="46"/>
      <c r="F22" s="39">
        <f t="shared" si="3"/>
        <v>0</v>
      </c>
      <c r="G22" s="39"/>
      <c r="H22" s="39">
        <f t="shared" si="2"/>
        <v>0</v>
      </c>
      <c r="I22" s="39"/>
      <c r="J22" s="45"/>
      <c r="L22" s="47"/>
    </row>
    <row r="23" spans="1:12" ht="16.5" thickBot="1" x14ac:dyDescent="0.3">
      <c r="A23" s="42">
        <v>12</v>
      </c>
      <c r="B23" s="97" t="s">
        <v>321</v>
      </c>
      <c r="C23" s="98" t="s">
        <v>69</v>
      </c>
      <c r="D23" s="211">
        <v>12</v>
      </c>
      <c r="E23" s="46"/>
      <c r="F23" s="39">
        <f t="shared" si="3"/>
        <v>0</v>
      </c>
      <c r="G23" s="39"/>
      <c r="H23" s="39">
        <f t="shared" si="2"/>
        <v>0</v>
      </c>
      <c r="I23" s="39"/>
      <c r="J23" s="45"/>
      <c r="L23" s="47"/>
    </row>
    <row r="24" spans="1:12" ht="16.5" hidden="1" thickBot="1" x14ac:dyDescent="0.3">
      <c r="A24" s="42">
        <v>13</v>
      </c>
      <c r="B24" s="43"/>
      <c r="C24" s="43"/>
      <c r="D24" s="43"/>
      <c r="E24" s="46"/>
      <c r="F24" s="39">
        <f t="shared" si="3"/>
        <v>0</v>
      </c>
      <c r="G24" s="39">
        <f>H24+I24</f>
        <v>0</v>
      </c>
      <c r="H24" s="39">
        <f t="shared" ref="H24:H25" si="4">I24+J24</f>
        <v>0</v>
      </c>
      <c r="I24" s="39"/>
      <c r="J24" s="45"/>
    </row>
    <row r="25" spans="1:12" ht="16.5" hidden="1" thickBot="1" x14ac:dyDescent="0.3">
      <c r="A25" s="48">
        <v>14</v>
      </c>
      <c r="B25" s="49"/>
      <c r="C25" s="49"/>
      <c r="D25" s="49"/>
      <c r="E25" s="50"/>
      <c r="F25" s="39">
        <f t="shared" si="3"/>
        <v>0</v>
      </c>
      <c r="G25" s="39">
        <f>H25+I25</f>
        <v>0</v>
      </c>
      <c r="H25" s="51">
        <f t="shared" si="4"/>
        <v>0</v>
      </c>
      <c r="I25" s="51"/>
      <c r="J25" s="52"/>
    </row>
    <row r="26" spans="1:12" ht="16.5" thickBot="1" x14ac:dyDescent="0.3">
      <c r="A26" s="881" t="s">
        <v>11</v>
      </c>
      <c r="B26" s="882"/>
      <c r="C26" s="882"/>
      <c r="D26" s="882"/>
      <c r="E26" s="883"/>
      <c r="F26" s="95">
        <f>SUM(F12:F23)</f>
        <v>47998594.950000003</v>
      </c>
      <c r="G26" s="95">
        <f>SUM(G12:G25)</f>
        <v>38778935.490000002</v>
      </c>
      <c r="H26" s="95">
        <f>SUM(H12:H25)</f>
        <v>9219659.4600000009</v>
      </c>
      <c r="I26" s="95">
        <f>SUM(I12:I25)</f>
        <v>8558056.3000000007</v>
      </c>
      <c r="J26" s="96">
        <f>SUM(J12:J25)</f>
        <v>661603.16</v>
      </c>
    </row>
    <row r="27" spans="1:12" x14ac:dyDescent="0.2">
      <c r="B27" s="47"/>
      <c r="C27" s="47"/>
      <c r="D27" s="47"/>
      <c r="E27" s="47"/>
      <c r="F27" s="47"/>
      <c r="G27" s="47"/>
      <c r="H27" s="47"/>
      <c r="I27" s="47"/>
    </row>
    <row r="28" spans="1:12" x14ac:dyDescent="0.2">
      <c r="D28" s="53"/>
    </row>
    <row r="29" spans="1:12" x14ac:dyDescent="0.2">
      <c r="B29" s="53"/>
      <c r="C29" s="53"/>
      <c r="D29" s="53"/>
      <c r="E29" s="53"/>
      <c r="F29" s="53"/>
      <c r="G29" s="53"/>
      <c r="H29" s="53"/>
      <c r="I29" s="53"/>
    </row>
  </sheetData>
  <mergeCells count="7">
    <mergeCell ref="G10:I10"/>
    <mergeCell ref="A26:E26"/>
    <mergeCell ref="B5:F5"/>
    <mergeCell ref="B6:F6"/>
    <mergeCell ref="A7:J7"/>
    <mergeCell ref="A8:J8"/>
    <mergeCell ref="B9:J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J25"/>
  <sheetViews>
    <sheetView zoomScaleNormal="100" workbookViewId="0">
      <selection activeCell="B17" sqref="B17"/>
    </sheetView>
  </sheetViews>
  <sheetFormatPr baseColWidth="10" defaultRowHeight="15" x14ac:dyDescent="0.25"/>
  <cols>
    <col min="1" max="1" width="15" customWidth="1"/>
    <col min="2" max="2" width="20.5703125" customWidth="1"/>
    <col min="3" max="3" width="14.85546875" customWidth="1"/>
    <col min="4" max="4" width="14" customWidth="1"/>
    <col min="5" max="5" width="18.28515625" customWidth="1"/>
    <col min="6" max="6" width="16.7109375" customWidth="1"/>
    <col min="7" max="7" width="21.42578125" customWidth="1"/>
    <col min="8" max="8" width="19.28515625" customWidth="1"/>
    <col min="9" max="9" width="13.140625" bestFit="1" customWidth="1"/>
  </cols>
  <sheetData>
    <row r="2" spans="1:10" ht="18.75" x14ac:dyDescent="0.3">
      <c r="A2" s="792" t="s">
        <v>83</v>
      </c>
      <c r="B2" s="792"/>
      <c r="C2" s="792"/>
      <c r="D2" s="792"/>
      <c r="E2" s="792"/>
      <c r="F2" s="792"/>
      <c r="G2" s="792"/>
    </row>
    <row r="3" spans="1:10" ht="18.75" x14ac:dyDescent="0.3">
      <c r="A3" s="792" t="s">
        <v>84</v>
      </c>
      <c r="B3" s="792"/>
      <c r="C3" s="792"/>
      <c r="D3" s="792"/>
      <c r="E3" s="792"/>
      <c r="F3" s="792"/>
      <c r="G3" s="792"/>
    </row>
    <row r="4" spans="1:10" ht="18.75" x14ac:dyDescent="0.3">
      <c r="A4" s="792" t="s">
        <v>673</v>
      </c>
      <c r="B4" s="792"/>
      <c r="C4" s="792"/>
      <c r="D4" s="792"/>
      <c r="E4" s="792"/>
      <c r="F4" s="792"/>
      <c r="G4" s="792"/>
    </row>
    <row r="5" spans="1:10" ht="20.25" x14ac:dyDescent="0.3">
      <c r="A5" s="792" t="s">
        <v>324</v>
      </c>
      <c r="B5" s="792"/>
      <c r="C5" s="792"/>
      <c r="D5" s="792"/>
      <c r="E5" s="792"/>
      <c r="F5" s="792"/>
      <c r="G5" s="792"/>
      <c r="H5" s="114"/>
    </row>
    <row r="6" spans="1:10" ht="19.5" thickBot="1" x14ac:dyDescent="0.35">
      <c r="A6" s="793" t="s">
        <v>587</v>
      </c>
      <c r="B6" s="793"/>
      <c r="C6" s="793"/>
      <c r="D6" s="793"/>
      <c r="E6" s="793"/>
      <c r="F6" s="793"/>
      <c r="G6" s="793"/>
      <c r="H6" s="54"/>
    </row>
    <row r="7" spans="1:10" ht="19.5" thickBot="1" x14ac:dyDescent="0.35">
      <c r="A7" s="885" t="s">
        <v>85</v>
      </c>
      <c r="B7" s="886"/>
      <c r="C7" s="886"/>
      <c r="D7" s="886"/>
      <c r="E7" s="886"/>
      <c r="F7" s="886"/>
      <c r="G7" s="887"/>
      <c r="H7" s="54"/>
    </row>
    <row r="8" spans="1:10" ht="45.75" thickBot="1" x14ac:dyDescent="0.3">
      <c r="A8" s="657" t="s">
        <v>735</v>
      </c>
      <c r="B8" s="658" t="s">
        <v>87</v>
      </c>
      <c r="C8" s="658" t="s">
        <v>88</v>
      </c>
      <c r="D8" s="658" t="s">
        <v>86</v>
      </c>
      <c r="E8" s="658" t="s">
        <v>734</v>
      </c>
      <c r="F8" s="658" t="s">
        <v>89</v>
      </c>
      <c r="G8" s="659" t="s">
        <v>90</v>
      </c>
      <c r="H8" s="54"/>
    </row>
    <row r="9" spans="1:10" x14ac:dyDescent="0.25">
      <c r="A9" s="242" t="s">
        <v>91</v>
      </c>
      <c r="B9" s="493">
        <v>20000</v>
      </c>
      <c r="C9" s="653">
        <v>0</v>
      </c>
      <c r="D9" s="653">
        <v>0</v>
      </c>
      <c r="E9" s="653"/>
      <c r="F9" s="655">
        <v>111600</v>
      </c>
      <c r="G9" s="656">
        <f>4440689.71+125614+1594761.44+82000+38485.48+26160.04+126390.54+47167.62</f>
        <v>6481268.830000001</v>
      </c>
      <c r="H9" s="54"/>
    </row>
    <row r="10" spans="1:10" x14ac:dyDescent="0.25">
      <c r="A10" s="100" t="s">
        <v>59</v>
      </c>
      <c r="B10" s="205">
        <v>0</v>
      </c>
      <c r="C10" s="105">
        <v>0</v>
      </c>
      <c r="D10" s="105">
        <v>0</v>
      </c>
      <c r="E10" s="105"/>
      <c r="F10" s="105">
        <v>123200</v>
      </c>
      <c r="G10" s="109">
        <f>76000+24023.01+4476867.73+1641494.26+59500+10364.2</f>
        <v>6288249.2000000002</v>
      </c>
      <c r="H10" s="54"/>
    </row>
    <row r="11" spans="1:10" x14ac:dyDescent="0.25">
      <c r="A11" s="100" t="s">
        <v>60</v>
      </c>
      <c r="B11" s="205">
        <v>30000</v>
      </c>
      <c r="C11" s="105">
        <v>0</v>
      </c>
      <c r="D11" s="105">
        <v>0</v>
      </c>
      <c r="E11" s="105"/>
      <c r="F11" s="105">
        <v>168850</v>
      </c>
      <c r="G11" s="107">
        <f>4730341.43+553808.85+6876.06+271520.11+38000+18283.86+17060.31</f>
        <v>5635890.6199999992</v>
      </c>
      <c r="H11" s="54"/>
    </row>
    <row r="12" spans="1:10" x14ac:dyDescent="0.25">
      <c r="A12" s="100" t="s">
        <v>92</v>
      </c>
      <c r="B12" s="205">
        <f>20000+30000</f>
        <v>50000</v>
      </c>
      <c r="C12" s="244">
        <f>2500000+2499949.92</f>
        <v>4999949.92</v>
      </c>
      <c r="D12" s="105">
        <v>0</v>
      </c>
      <c r="E12" s="105"/>
      <c r="F12" s="105">
        <v>178235</v>
      </c>
      <c r="G12" s="107">
        <f>5898441.73+91500+1143951.86+23436.31+2400+36461.06+22737.38</f>
        <v>7218928.3399999999</v>
      </c>
      <c r="H12" s="54"/>
      <c r="I12" s="590"/>
    </row>
    <row r="13" spans="1:10" x14ac:dyDescent="0.25">
      <c r="A13" s="100" t="s">
        <v>93</v>
      </c>
      <c r="B13" s="105">
        <v>30000</v>
      </c>
      <c r="C13" s="105">
        <v>0</v>
      </c>
      <c r="D13" s="105">
        <v>0</v>
      </c>
      <c r="E13" s="105"/>
      <c r="F13" s="105">
        <v>106400</v>
      </c>
      <c r="G13" s="108">
        <f>858278.16+109500+4779210.66+12862.82+15096.62</f>
        <v>5774948.2600000007</v>
      </c>
      <c r="H13" s="54"/>
    </row>
    <row r="14" spans="1:10" x14ac:dyDescent="0.25">
      <c r="A14" s="100" t="s">
        <v>63</v>
      </c>
      <c r="B14" s="205">
        <v>20000</v>
      </c>
      <c r="C14" s="105">
        <v>2499951</v>
      </c>
      <c r="D14" s="105">
        <v>0</v>
      </c>
      <c r="E14" s="105"/>
      <c r="F14" s="105">
        <v>142550</v>
      </c>
      <c r="G14" s="109">
        <f>4624677.5+326365.49+82500</f>
        <v>5033542.99</v>
      </c>
      <c r="H14" s="13"/>
      <c r="J14" t="s">
        <v>365</v>
      </c>
    </row>
    <row r="15" spans="1:10" x14ac:dyDescent="0.25">
      <c r="A15" s="100" t="s">
        <v>64</v>
      </c>
      <c r="B15" s="205">
        <v>15000</v>
      </c>
      <c r="C15" s="105">
        <v>2499986.19</v>
      </c>
      <c r="D15" s="105">
        <v>0</v>
      </c>
      <c r="E15" s="105">
        <v>35600</v>
      </c>
      <c r="F15" s="105">
        <v>135450</v>
      </c>
      <c r="G15" s="109">
        <f>131807+5642448.41+9441.06+70577.42+476432.68+46912.23+543388.01+8626</f>
        <v>6929632.8099999996</v>
      </c>
    </row>
    <row r="16" spans="1:10" x14ac:dyDescent="0.25">
      <c r="A16" s="100" t="s">
        <v>65</v>
      </c>
      <c r="B16" s="205">
        <v>15000</v>
      </c>
      <c r="C16" s="205">
        <v>2499969.08</v>
      </c>
      <c r="D16" s="105">
        <v>0</v>
      </c>
      <c r="E16" s="105">
        <v>42300</v>
      </c>
      <c r="F16" s="105">
        <v>195000</v>
      </c>
      <c r="G16" s="109">
        <f>4186258.32+321230.8+88000+22466.78+18178</f>
        <v>4636133.9000000004</v>
      </c>
    </row>
    <row r="17" spans="1:7" x14ac:dyDescent="0.25">
      <c r="A17" s="100" t="s">
        <v>66</v>
      </c>
      <c r="B17" s="205"/>
      <c r="C17" s="105"/>
      <c r="D17" s="105">
        <v>0</v>
      </c>
      <c r="E17" s="105"/>
      <c r="F17" s="105"/>
      <c r="G17" s="109"/>
    </row>
    <row r="18" spans="1:7" x14ac:dyDescent="0.25">
      <c r="A18" s="100" t="s">
        <v>67</v>
      </c>
      <c r="B18" s="105"/>
      <c r="C18" s="105"/>
      <c r="D18" s="105">
        <v>0</v>
      </c>
      <c r="E18" s="105"/>
      <c r="F18" s="105"/>
      <c r="G18" s="110"/>
    </row>
    <row r="19" spans="1:7" x14ac:dyDescent="0.25">
      <c r="A19" s="100" t="s">
        <v>68</v>
      </c>
      <c r="B19" s="205"/>
      <c r="C19" s="205"/>
      <c r="D19" s="105">
        <v>0</v>
      </c>
      <c r="E19" s="105"/>
      <c r="F19" s="105"/>
      <c r="G19" s="109"/>
    </row>
    <row r="20" spans="1:7" ht="15.75" thickBot="1" x14ac:dyDescent="0.3">
      <c r="A20" s="104" t="s">
        <v>69</v>
      </c>
      <c r="B20" s="296"/>
      <c r="C20" s="660"/>
      <c r="D20" s="105">
        <v>0</v>
      </c>
      <c r="E20" s="654"/>
      <c r="F20" s="106"/>
      <c r="G20" s="111"/>
    </row>
    <row r="21" spans="1:7" ht="15.75" thickBot="1" x14ac:dyDescent="0.3">
      <c r="A21" s="101" t="s">
        <v>33</v>
      </c>
      <c r="B21" s="102">
        <f t="shared" ref="B21:G21" si="0">SUM(B9:B20)</f>
        <v>180000</v>
      </c>
      <c r="C21" s="102">
        <f t="shared" si="0"/>
        <v>12499856.189999999</v>
      </c>
      <c r="D21" s="102">
        <f t="shared" si="0"/>
        <v>0</v>
      </c>
      <c r="E21" s="102">
        <f t="shared" si="0"/>
        <v>77900</v>
      </c>
      <c r="F21" s="102">
        <f t="shared" si="0"/>
        <v>1161285</v>
      </c>
      <c r="G21" s="103">
        <f t="shared" si="0"/>
        <v>47998594.950000003</v>
      </c>
    </row>
    <row r="22" spans="1:7" x14ac:dyDescent="0.25">
      <c r="G22" s="32"/>
    </row>
    <row r="24" spans="1:7" x14ac:dyDescent="0.25">
      <c r="B24" t="s">
        <v>325</v>
      </c>
    </row>
    <row r="25" spans="1:7" x14ac:dyDescent="0.25">
      <c r="G25" s="209"/>
    </row>
  </sheetData>
  <mergeCells count="6">
    <mergeCell ref="A7:G7"/>
    <mergeCell ref="A2:G2"/>
    <mergeCell ref="A3:G3"/>
    <mergeCell ref="A4:G4"/>
    <mergeCell ref="A5:G5"/>
    <mergeCell ref="A6:G6"/>
  </mergeCells>
  <pageMargins left="0.51181102362204722" right="0.51181102362204722" top="0.74803149606299213" bottom="0.74803149606299213" header="0.31496062992125984" footer="0.31496062992125984"/>
  <pageSetup scale="74" orientation="landscape" horizontalDpi="4294967293" verticalDpi="0" r:id="rId1"/>
  <colBreaks count="1" manualBreakCount="1">
    <brk id="9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0000"/>
  </sheetPr>
  <dimension ref="A1:B47"/>
  <sheetViews>
    <sheetView workbookViewId="0">
      <selection activeCell="F22" sqref="F22"/>
    </sheetView>
  </sheetViews>
  <sheetFormatPr baseColWidth="10" defaultColWidth="11.42578125" defaultRowHeight="15" x14ac:dyDescent="0.25"/>
  <cols>
    <col min="1" max="1" width="54" style="18" bestFit="1" customWidth="1"/>
    <col min="2" max="2" width="32.42578125" style="18" bestFit="1" customWidth="1"/>
    <col min="3" max="16384" width="11.42578125" style="18"/>
  </cols>
  <sheetData>
    <row r="1" spans="1:2" ht="30" x14ac:dyDescent="0.4">
      <c r="A1" s="889" t="s">
        <v>23</v>
      </c>
      <c r="B1" s="889"/>
    </row>
    <row r="2" spans="1:2" ht="20.100000000000001" customHeight="1" x14ac:dyDescent="0.25">
      <c r="A2" s="890" t="s">
        <v>94</v>
      </c>
      <c r="B2" s="890"/>
    </row>
    <row r="3" spans="1:2" ht="20.100000000000001" customHeight="1" x14ac:dyDescent="0.25">
      <c r="A3" s="890" t="s">
        <v>95</v>
      </c>
      <c r="B3" s="890"/>
    </row>
    <row r="4" spans="1:2" ht="20.100000000000001" customHeight="1" x14ac:dyDescent="0.25">
      <c r="A4" s="891" t="s">
        <v>96</v>
      </c>
      <c r="B4" s="891"/>
    </row>
    <row r="5" spans="1:2" ht="20.100000000000001" customHeight="1" x14ac:dyDescent="0.25">
      <c r="A5" s="892" t="s">
        <v>97</v>
      </c>
      <c r="B5" s="892"/>
    </row>
    <row r="8" spans="1:2" ht="20.100000000000001" customHeight="1" x14ac:dyDescent="0.25">
      <c r="A8" s="56" t="s">
        <v>98</v>
      </c>
    </row>
    <row r="9" spans="1:2" ht="20.100000000000001" customHeight="1" x14ac:dyDescent="0.25">
      <c r="A9" s="888" t="s">
        <v>99</v>
      </c>
      <c r="B9" s="888"/>
    </row>
    <row r="10" spans="1:2" ht="20.100000000000001" customHeight="1" x14ac:dyDescent="0.25">
      <c r="A10" s="57"/>
    </row>
    <row r="11" spans="1:2" ht="20.100000000000001" customHeight="1" x14ac:dyDescent="0.25">
      <c r="A11" s="58" t="s">
        <v>100</v>
      </c>
      <c r="B11" s="58" t="s">
        <v>101</v>
      </c>
    </row>
    <row r="12" spans="1:2" ht="20.100000000000001" customHeight="1" x14ac:dyDescent="0.25">
      <c r="A12" s="57" t="s">
        <v>102</v>
      </c>
      <c r="B12" s="59" t="s">
        <v>103</v>
      </c>
    </row>
    <row r="13" spans="1:2" ht="20.100000000000001" customHeight="1" x14ac:dyDescent="0.25">
      <c r="A13" s="57" t="s">
        <v>104</v>
      </c>
      <c r="B13">
        <v>43137.89</v>
      </c>
    </row>
    <row r="14" spans="1:2" ht="20.100000000000001" customHeight="1" x14ac:dyDescent="0.25">
      <c r="A14" s="57" t="s">
        <v>105</v>
      </c>
      <c r="B14" s="59">
        <v>2898234.73</v>
      </c>
    </row>
    <row r="15" spans="1:2" ht="20.100000000000001" customHeight="1" x14ac:dyDescent="0.25">
      <c r="A15" s="60" t="s">
        <v>78</v>
      </c>
      <c r="B15" s="60">
        <f>B13+B14</f>
        <v>2941372.62</v>
      </c>
    </row>
    <row r="16" spans="1:2" ht="20.100000000000001" customHeight="1" x14ac:dyDescent="0.25">
      <c r="A16" s="61" t="s">
        <v>106</v>
      </c>
      <c r="B16" s="59" t="s">
        <v>107</v>
      </c>
    </row>
    <row r="17" spans="1:2" ht="20.100000000000001" customHeight="1" x14ac:dyDescent="0.25">
      <c r="A17" s="60" t="s">
        <v>108</v>
      </c>
      <c r="B17" s="60" t="str">
        <f>B16</f>
        <v>RD$  2965021.57</v>
      </c>
    </row>
    <row r="18" spans="1:2" ht="20.100000000000001" customHeight="1" x14ac:dyDescent="0.25">
      <c r="A18" s="57" t="s">
        <v>109</v>
      </c>
      <c r="B18" s="59">
        <v>-23648.95</v>
      </c>
    </row>
    <row r="19" spans="1:2" ht="20.100000000000001" customHeight="1" x14ac:dyDescent="0.25">
      <c r="A19" s="60" t="s">
        <v>110</v>
      </c>
      <c r="B19" s="60"/>
    </row>
    <row r="20" spans="1:2" ht="20.100000000000001" customHeight="1" x14ac:dyDescent="0.25">
      <c r="A20" s="57" t="s">
        <v>111</v>
      </c>
      <c r="B20" s="59">
        <v>1075</v>
      </c>
    </row>
    <row r="21" spans="1:2" ht="20.100000000000001" customHeight="1" x14ac:dyDescent="0.25">
      <c r="A21" s="18" t="s">
        <v>112</v>
      </c>
      <c r="B21" s="59">
        <v>390</v>
      </c>
    </row>
    <row r="22" spans="1:2" ht="20.100000000000001" customHeight="1" x14ac:dyDescent="0.25">
      <c r="A22" s="57" t="s">
        <v>113</v>
      </c>
      <c r="B22" s="59">
        <v>143</v>
      </c>
    </row>
    <row r="23" spans="1:2" ht="20.100000000000001" customHeight="1" x14ac:dyDescent="0.25">
      <c r="A23" s="57" t="s">
        <v>114</v>
      </c>
      <c r="B23" s="59">
        <v>11</v>
      </c>
    </row>
    <row r="24" spans="1:2" ht="20.100000000000001" customHeight="1" x14ac:dyDescent="0.25">
      <c r="A24" s="57" t="s">
        <v>115</v>
      </c>
      <c r="B24" s="59">
        <v>43</v>
      </c>
    </row>
    <row r="25" spans="1:2" ht="20.100000000000001" customHeight="1" x14ac:dyDescent="0.25">
      <c r="A25" s="57" t="s">
        <v>116</v>
      </c>
      <c r="B25" s="59">
        <v>6</v>
      </c>
    </row>
    <row r="26" spans="1:2" ht="20.100000000000001" customHeight="1" x14ac:dyDescent="0.25">
      <c r="A26" s="57" t="s">
        <v>117</v>
      </c>
      <c r="B26" s="59">
        <v>1157</v>
      </c>
    </row>
    <row r="27" spans="1:2" ht="20.100000000000001" customHeight="1" x14ac:dyDescent="0.25">
      <c r="A27" s="57" t="s">
        <v>118</v>
      </c>
      <c r="B27" s="59">
        <v>0</v>
      </c>
    </row>
    <row r="28" spans="1:2" ht="20.100000000000001" customHeight="1" x14ac:dyDescent="0.25">
      <c r="A28" s="57" t="s">
        <v>119</v>
      </c>
      <c r="B28" s="59">
        <v>77</v>
      </c>
    </row>
    <row r="29" spans="1:2" ht="20.100000000000001" customHeight="1" x14ac:dyDescent="0.25">
      <c r="A29" s="57" t="s">
        <v>120</v>
      </c>
      <c r="B29" s="59">
        <v>0</v>
      </c>
    </row>
    <row r="30" spans="1:2" ht="20.100000000000001" customHeight="1" x14ac:dyDescent="0.25">
      <c r="A30" s="57" t="s">
        <v>121</v>
      </c>
      <c r="B30" s="59">
        <v>689</v>
      </c>
    </row>
    <row r="31" spans="1:2" ht="20.100000000000001" customHeight="1" x14ac:dyDescent="0.25">
      <c r="A31" s="18" t="s">
        <v>122</v>
      </c>
      <c r="B31" s="59">
        <v>23</v>
      </c>
    </row>
    <row r="32" spans="1:2" ht="20.100000000000001" customHeight="1" x14ac:dyDescent="0.25">
      <c r="A32" s="57" t="s">
        <v>123</v>
      </c>
      <c r="B32" s="59" t="s">
        <v>124</v>
      </c>
    </row>
    <row r="33" spans="1:2" ht="20.100000000000001" customHeight="1" x14ac:dyDescent="0.25">
      <c r="A33" s="60" t="s">
        <v>125</v>
      </c>
      <c r="B33" s="60"/>
    </row>
    <row r="34" spans="1:2" ht="20.100000000000001" customHeight="1" x14ac:dyDescent="0.25">
      <c r="A34" s="57" t="s">
        <v>126</v>
      </c>
      <c r="B34" s="62" t="s">
        <v>127</v>
      </c>
    </row>
    <row r="35" spans="1:2" ht="20.100000000000001" customHeight="1" x14ac:dyDescent="0.25">
      <c r="A35" s="57" t="s">
        <v>128</v>
      </c>
      <c r="B35" s="62" t="s">
        <v>129</v>
      </c>
    </row>
    <row r="36" spans="1:2" ht="20.100000000000001" customHeight="1" x14ac:dyDescent="0.25">
      <c r="A36" s="63" t="s">
        <v>130</v>
      </c>
      <c r="B36" s="59">
        <v>173000</v>
      </c>
    </row>
    <row r="37" spans="1:2" ht="20.100000000000001" customHeight="1" x14ac:dyDescent="0.25">
      <c r="A37" s="60" t="s">
        <v>131</v>
      </c>
      <c r="B37" s="60"/>
    </row>
    <row r="38" spans="1:2" ht="20.100000000000001" customHeight="1" x14ac:dyDescent="0.25">
      <c r="A38" s="57">
        <v>2019</v>
      </c>
      <c r="B38" s="59">
        <v>481390.17</v>
      </c>
    </row>
    <row r="39" spans="1:2" ht="20.100000000000001" customHeight="1" x14ac:dyDescent="0.25">
      <c r="A39" s="57">
        <v>2017</v>
      </c>
      <c r="B39" s="59">
        <v>477273.05</v>
      </c>
    </row>
    <row r="40" spans="1:2" ht="20.100000000000001" customHeight="1" x14ac:dyDescent="0.25">
      <c r="A40" s="57" t="s">
        <v>132</v>
      </c>
      <c r="B40" s="59">
        <v>0</v>
      </c>
    </row>
    <row r="41" spans="1:2" ht="20.100000000000001" customHeight="1" x14ac:dyDescent="0.25">
      <c r="A41" s="64">
        <v>2020</v>
      </c>
      <c r="B41" s="59">
        <v>327973.92</v>
      </c>
    </row>
    <row r="42" spans="1:2" ht="20.100000000000001" customHeight="1" x14ac:dyDescent="0.25">
      <c r="A42" s="60" t="s">
        <v>133</v>
      </c>
      <c r="B42" s="60"/>
    </row>
    <row r="43" spans="1:2" ht="20.100000000000001" customHeight="1" x14ac:dyDescent="0.25">
      <c r="A43" s="57" t="s">
        <v>134</v>
      </c>
      <c r="B43" s="59" t="s">
        <v>135</v>
      </c>
    </row>
    <row r="44" spans="1:2" ht="20.100000000000001" customHeight="1" x14ac:dyDescent="0.25">
      <c r="A44" s="57" t="s">
        <v>136</v>
      </c>
      <c r="B44" s="59">
        <v>2898234.73</v>
      </c>
    </row>
    <row r="45" spans="1:2" ht="20.100000000000001" customHeight="1" x14ac:dyDescent="0.25">
      <c r="A45" s="60" t="s">
        <v>137</v>
      </c>
      <c r="B45" s="60"/>
    </row>
    <row r="46" spans="1:2" ht="20.100000000000001" customHeight="1" x14ac:dyDescent="0.25">
      <c r="A46" s="57" t="s">
        <v>134</v>
      </c>
      <c r="B46" s="59">
        <v>0</v>
      </c>
    </row>
    <row r="47" spans="1:2" ht="20.100000000000001" customHeight="1" x14ac:dyDescent="0.25">
      <c r="A47" s="57" t="s">
        <v>136</v>
      </c>
      <c r="B47" s="59">
        <v>0</v>
      </c>
    </row>
  </sheetData>
  <mergeCells count="6">
    <mergeCell ref="A9:B9"/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6</vt:i4>
      </vt:variant>
    </vt:vector>
  </HeadingPairs>
  <TitlesOfParts>
    <vt:vector size="21" baseType="lpstr">
      <vt:lpstr>OBLIGACIONES</vt:lpstr>
      <vt:lpstr>INGRESOS SEGUN ORIGEN</vt:lpstr>
      <vt:lpstr>LISTADO DE ORDENES</vt:lpstr>
      <vt:lpstr>CUENTAS X PAGAR</vt:lpstr>
      <vt:lpstr>DEUDA SUP.</vt:lpstr>
      <vt:lpstr>Plantilla Presupuesto</vt:lpstr>
      <vt:lpstr>FR</vt:lpstr>
      <vt:lpstr>VS</vt:lpstr>
      <vt:lpstr>Nómina Interna</vt:lpstr>
      <vt:lpstr>RESUMEN GLOSA X POR MES </vt:lpstr>
      <vt:lpstr>INGRESO POR FACT. ARS</vt:lpstr>
      <vt:lpstr>PROMESE POR MES</vt:lpstr>
      <vt:lpstr>SERVICIOS ARS</vt:lpstr>
      <vt:lpstr>CAPTACION DE INGRESO</vt:lpstr>
      <vt:lpstr>  Estado Financiero 2023</vt:lpstr>
      <vt:lpstr>'CAPTACION DE INGRESO'!Área_de_impresión</vt:lpstr>
      <vt:lpstr>'CUENTAS X PAGAR'!Área_de_impresión</vt:lpstr>
      <vt:lpstr>'DEUDA SUP.'!Área_de_impresión</vt:lpstr>
      <vt:lpstr>'LISTADO DE ORDENES'!Área_de_impresión</vt:lpstr>
      <vt:lpstr>OBLIGACIONES!Área_de_impresión</vt:lpstr>
      <vt:lpstr>'RESUMEN GLOSA X POR MES 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Ynes Danilda Abreu Ureña</dc:creator>
  <cp:lastModifiedBy>CONTABILIDAD 1</cp:lastModifiedBy>
  <cp:lastPrinted>2025-09-02T12:29:09Z</cp:lastPrinted>
  <dcterms:created xsi:type="dcterms:W3CDTF">2021-03-11T12:14:44Z</dcterms:created>
  <dcterms:modified xsi:type="dcterms:W3CDTF">2025-09-02T13:02:51Z</dcterms:modified>
</cp:coreProperties>
</file>