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 HRILLB\Documents\"/>
    </mc:Choice>
  </mc:AlternateContent>
  <bookViews>
    <workbookView xWindow="0" yWindow="0" windowWidth="28800" windowHeight="12435" tabRatio="859"/>
  </bookViews>
  <sheets>
    <sheet name="CUENTAS X PAGAR" sheetId="28" r:id="rId1"/>
  </sheets>
  <definedNames>
    <definedName name="_xlnm.Print_Area" localSheetId="0">'CUENTAS X PAGAR'!$A$1:$Y$918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890" i="28" l="1"/>
  <c r="O538" i="28"/>
  <c r="O309" i="28"/>
  <c r="S52" i="28"/>
  <c r="P52" i="28"/>
  <c r="M52" i="28"/>
  <c r="K52" i="28"/>
  <c r="J52" i="28"/>
  <c r="H52" i="28"/>
  <c r="G51" i="28"/>
  <c r="E51" i="28"/>
  <c r="Y51" i="28" s="1"/>
  <c r="Y50" i="28"/>
  <c r="T50" i="28"/>
  <c r="Y49" i="28"/>
  <c r="G48" i="28"/>
  <c r="F48" i="28"/>
  <c r="Y48" i="28" s="1"/>
  <c r="Y47" i="28"/>
  <c r="U47" i="28"/>
  <c r="T47" i="28"/>
  <c r="R47" i="28"/>
  <c r="Q47" i="28"/>
  <c r="T46" i="28"/>
  <c r="Y46" i="28" s="1"/>
  <c r="R46" i="28"/>
  <c r="T45" i="28"/>
  <c r="Y45" i="28" s="1"/>
  <c r="G44" i="28"/>
  <c r="Y44" i="28" s="1"/>
  <c r="Y43" i="28"/>
  <c r="T43" i="28"/>
  <c r="T42" i="28"/>
  <c r="Y42" i="28" s="1"/>
  <c r="I41" i="28"/>
  <c r="I52" i="28" s="1"/>
  <c r="Y40" i="28"/>
  <c r="G40" i="28"/>
  <c r="G39" i="28"/>
  <c r="Y39" i="28" s="1"/>
  <c r="T38" i="28"/>
  <c r="Y38" i="28" s="1"/>
  <c r="Y37" i="28"/>
  <c r="L37" i="28"/>
  <c r="L52" i="28" s="1"/>
  <c r="V36" i="28"/>
  <c r="U36" i="28"/>
  <c r="T36" i="28"/>
  <c r="Y36" i="28" s="1"/>
  <c r="Y35" i="28"/>
  <c r="T35" i="28"/>
  <c r="R35" i="28"/>
  <c r="Y34" i="28"/>
  <c r="Y33" i="28"/>
  <c r="G32" i="28"/>
  <c r="Y32" i="28" s="1"/>
  <c r="F32" i="28"/>
  <c r="T31" i="28"/>
  <c r="R31" i="28"/>
  <c r="Y31" i="28" s="1"/>
  <c r="Y30" i="28"/>
  <c r="Y29" i="28"/>
  <c r="T29" i="28"/>
  <c r="R29" i="28"/>
  <c r="G28" i="28"/>
  <c r="F28" i="28"/>
  <c r="F52" i="28" s="1"/>
  <c r="Y27" i="28"/>
  <c r="X26" i="28"/>
  <c r="X52" i="28" s="1"/>
  <c r="V26" i="28"/>
  <c r="V52" i="28" s="1"/>
  <c r="U26" i="28"/>
  <c r="T26" i="28"/>
  <c r="R26" i="28"/>
  <c r="Y26" i="28" s="1"/>
  <c r="Y25" i="28"/>
  <c r="N24" i="28"/>
  <c r="Y24" i="28" s="1"/>
  <c r="T23" i="28"/>
  <c r="Y23" i="28" s="1"/>
  <c r="Y22" i="28"/>
  <c r="M21" i="28"/>
  <c r="Y21" i="28" s="1"/>
  <c r="Y20" i="28"/>
  <c r="Y19" i="28"/>
  <c r="W19" i="28"/>
  <c r="N19" i="28"/>
  <c r="N52" i="28" s="1"/>
  <c r="Y18" i="28"/>
  <c r="I17" i="28"/>
  <c r="Y17" i="28" s="1"/>
  <c r="W16" i="28"/>
  <c r="W52" i="28" s="1"/>
  <c r="U16" i="28"/>
  <c r="U52" i="28" s="1"/>
  <c r="T16" i="28"/>
  <c r="S16" i="28"/>
  <c r="R16" i="28"/>
  <c r="Q16" i="28"/>
  <c r="Q52" i="28" s="1"/>
  <c r="Y15" i="28"/>
  <c r="Y14" i="28"/>
  <c r="T14" i="28"/>
  <c r="T13" i="28"/>
  <c r="R13" i="28"/>
  <c r="Y13" i="28" s="1"/>
  <c r="T12" i="28"/>
  <c r="T52" i="28" s="1"/>
  <c r="R12" i="28"/>
  <c r="Y11" i="28"/>
  <c r="T10" i="28"/>
  <c r="R10" i="28"/>
  <c r="Y10" i="28" s="1"/>
  <c r="Y9" i="28"/>
  <c r="T9" i="28"/>
  <c r="O9" i="28"/>
  <c r="O8" i="28"/>
  <c r="O52" i="28" s="1"/>
  <c r="Y16" i="28" l="1"/>
  <c r="Y41" i="28"/>
  <c r="Y8" i="28"/>
  <c r="Y28" i="28"/>
  <c r="E52" i="28"/>
  <c r="R52" i="28"/>
  <c r="G52" i="28"/>
  <c r="Y12" i="28"/>
  <c r="Y52" i="28" l="1"/>
</calcChain>
</file>

<file path=xl/sharedStrings.xml><?xml version="1.0" encoding="utf-8"?>
<sst xmlns="http://schemas.openxmlformats.org/spreadsheetml/2006/main" count="199" uniqueCount="162">
  <si>
    <t xml:space="preserve">SERVICIO NACIONAL DE SALUD </t>
  </si>
  <si>
    <t>NO</t>
  </si>
  <si>
    <t xml:space="preserve">DIRECCION DE FISCALIZACION Y CONTROL </t>
  </si>
  <si>
    <t xml:space="preserve">NOMBRES PROVEEDOR  </t>
  </si>
  <si>
    <t>FUENTE DE FINANCIAMIENTO</t>
  </si>
  <si>
    <t>TOTAL ADEUDA</t>
  </si>
  <si>
    <t>ABRIL</t>
  </si>
  <si>
    <t>AGOSTO</t>
  </si>
  <si>
    <t xml:space="preserve"> </t>
  </si>
  <si>
    <t xml:space="preserve">CONCEPTO DE COMPRA ( BREVE DESCRIPCION ) </t>
  </si>
  <si>
    <t>MONTO AÑO 2021</t>
  </si>
  <si>
    <t>Administrador</t>
  </si>
  <si>
    <t>ESTABLECIMIENTO:  HOSPITAL REGIONAL ING. LUIS L. BOGAERT</t>
  </si>
  <si>
    <t>REACTIVO DE LABORATORIO</t>
  </si>
  <si>
    <t>ALQUILERES JEREZ</t>
  </si>
  <si>
    <t>ALQUILERES DE SILLAS</t>
  </si>
  <si>
    <t>AGUA FARES</t>
  </si>
  <si>
    <t>MEDICAMENTOS</t>
  </si>
  <si>
    <t>OXIGENOS MEDICO</t>
  </si>
  <si>
    <t>ALIMENTOS</t>
  </si>
  <si>
    <t>MATERIAL DE INFORAMATICA</t>
  </si>
  <si>
    <t>CARNICERIA DARIO</t>
  </si>
  <si>
    <t>CARNES DE CERDO Y RES</t>
  </si>
  <si>
    <t>CETIOSA,EIRL</t>
  </si>
  <si>
    <t>COMBUSTIBLES</t>
  </si>
  <si>
    <t>CENTRO MEDICO</t>
  </si>
  <si>
    <t>CENTRO PLAZA LA FERIA</t>
  </si>
  <si>
    <t>ELECTRODOMESTICO</t>
  </si>
  <si>
    <t>COMPUTINTA</t>
  </si>
  <si>
    <t>EVELYN FLOR</t>
  </si>
  <si>
    <t>SUM.FLORES DIA DE DUARTE</t>
  </si>
  <si>
    <t>GRAFINOR</t>
  </si>
  <si>
    <t>IMPRESOS</t>
  </si>
  <si>
    <t>HNOS.PIMENTEL</t>
  </si>
  <si>
    <t>IMPRESOS R&amp;R</t>
  </si>
  <si>
    <t>JOSE FERNANDEZ</t>
  </si>
  <si>
    <t>MANT.EQ.LABORATORIO</t>
  </si>
  <si>
    <t>LAB. BIOMEDICA</t>
  </si>
  <si>
    <t>LAB.CLINICO MARIA F.M</t>
  </si>
  <si>
    <t>COMPRA DE SANGRE</t>
  </si>
  <si>
    <t>LUIS MIGUEL ESTEVEZ</t>
  </si>
  <si>
    <t>SERVICIO DE ALIMENTACION</t>
  </si>
  <si>
    <t>MULTI SERVICIOS MAO</t>
  </si>
  <si>
    <t>ALQUILRES</t>
  </si>
  <si>
    <t>OXIGENOS EL CHINO</t>
  </si>
  <si>
    <t>Repuestos Danilo Santos</t>
  </si>
  <si>
    <t>MANT.EQ. TRANSPORTE</t>
  </si>
  <si>
    <t>REMIFAR COMERCIAL</t>
  </si>
  <si>
    <t>SERCLAMED,SRL</t>
  </si>
  <si>
    <t>TDA. LAS MARGARITAS</t>
  </si>
  <si>
    <t>PLASTICO Y UT. DE COCINA</t>
  </si>
  <si>
    <t>TDA. CUCHA</t>
  </si>
  <si>
    <t>ARTICULOS DIVERSOS</t>
  </si>
  <si>
    <t>ULTRACOMPUTERS</t>
  </si>
  <si>
    <t>MATERIAL DE INFORMATICA</t>
  </si>
  <si>
    <t>VS</t>
  </si>
  <si>
    <t xml:space="preserve">TOTAL GENERAL </t>
  </si>
  <si>
    <t xml:space="preserve">Enc. Depto. De Contabilidad </t>
  </si>
  <si>
    <t>EDITORA PUNTO CENTRAL</t>
  </si>
  <si>
    <t>DR. Newton Solano</t>
  </si>
  <si>
    <t>Director</t>
  </si>
  <si>
    <t>Lic. Jean Flores</t>
  </si>
  <si>
    <t>Preparado Por</t>
  </si>
  <si>
    <t>Aprobado Por</t>
  </si>
  <si>
    <t>Lic. Jenniffer Rodriguez</t>
  </si>
  <si>
    <t>2</t>
  </si>
  <si>
    <t>5</t>
  </si>
  <si>
    <t>6</t>
  </si>
  <si>
    <t>7</t>
  </si>
  <si>
    <t>8</t>
  </si>
  <si>
    <t>10</t>
  </si>
  <si>
    <t>26</t>
  </si>
  <si>
    <t>28</t>
  </si>
  <si>
    <t>29</t>
  </si>
  <si>
    <t>SUPER ESTACION MAO</t>
  </si>
  <si>
    <t>MONTO AÑO 2023</t>
  </si>
  <si>
    <t>MONTO AL 31 JULIO 2024</t>
  </si>
  <si>
    <t>MONTO AL 30 SEPTIEMBRE 2024</t>
  </si>
  <si>
    <t>MONTO AL 31 DE OCTUBRE 2024</t>
  </si>
  <si>
    <t>MONTO AL 30 NOVIEMBRE  2024</t>
  </si>
  <si>
    <t>MONTO AL 31 DICIEMBRE  2024</t>
  </si>
  <si>
    <t xml:space="preserve">MES  REPORTADO:      </t>
  </si>
  <si>
    <t>14</t>
  </si>
  <si>
    <t>23</t>
  </si>
  <si>
    <t>Revisado Por:</t>
  </si>
  <si>
    <t>G198+=G197+G199</t>
  </si>
  <si>
    <t>1</t>
  </si>
  <si>
    <t>3</t>
  </si>
  <si>
    <t>4</t>
  </si>
  <si>
    <t>9</t>
  </si>
  <si>
    <t>11</t>
  </si>
  <si>
    <t>12</t>
  </si>
  <si>
    <t>13</t>
  </si>
  <si>
    <t>15</t>
  </si>
  <si>
    <t>16</t>
  </si>
  <si>
    <t>17</t>
  </si>
  <si>
    <t>18</t>
  </si>
  <si>
    <t>19</t>
  </si>
  <si>
    <t>20</t>
  </si>
  <si>
    <t>21</t>
  </si>
  <si>
    <t>22</t>
  </si>
  <si>
    <t>24</t>
  </si>
  <si>
    <t>25</t>
  </si>
  <si>
    <t>27</t>
  </si>
  <si>
    <t>30</t>
  </si>
  <si>
    <t>31</t>
  </si>
  <si>
    <t>CELCA DISPLAY SRL</t>
  </si>
  <si>
    <t>ELABORACION DE CAUNTER</t>
  </si>
  <si>
    <t>FHEYAMS SERVICES SUPPLIER</t>
  </si>
  <si>
    <t>UNIFORMES</t>
  </si>
  <si>
    <t>32</t>
  </si>
  <si>
    <t>33</t>
  </si>
  <si>
    <t>34</t>
  </si>
  <si>
    <t>MONTO AÑO 2024</t>
  </si>
  <si>
    <t>MONTO AL 31 ENERO 2025</t>
  </si>
  <si>
    <t>COMPROMISOS DE DEUDAS AÑO 2025</t>
  </si>
  <si>
    <t>BIO-NUCLEAR</t>
  </si>
  <si>
    <t>MIX AIR DOMINICANA</t>
  </si>
  <si>
    <t>HOSPIFAR,SRL</t>
  </si>
  <si>
    <t>MONTO AL 28 FEBRERO 2025</t>
  </si>
  <si>
    <t>MONTO AL 31 MARZO 2025</t>
  </si>
  <si>
    <t>MONTO AÑO 2015</t>
  </si>
  <si>
    <t>MONTO AÑO 2016</t>
  </si>
  <si>
    <t>MONTO AÑO 2017</t>
  </si>
  <si>
    <t>MONTO AÑO 2018</t>
  </si>
  <si>
    <t>MONTO AÑO 2019</t>
  </si>
  <si>
    <t>MONTO AÑO 2020</t>
  </si>
  <si>
    <t>KARYBERTH TECHNOLOGY</t>
  </si>
  <si>
    <t>SRS:  4</t>
  </si>
  <si>
    <t xml:space="preserve">MES REPORTADO </t>
  </si>
  <si>
    <r>
      <t>MONTO AÑO≤</t>
    </r>
    <r>
      <rPr>
        <b/>
        <sz val="9"/>
        <color rgb="FF000000"/>
        <rFont val="Calibri"/>
        <family val="2"/>
      </rPr>
      <t>2014</t>
    </r>
  </si>
  <si>
    <t>A&amp;M PLOMERIA</t>
  </si>
  <si>
    <t>MES REPORTADO</t>
  </si>
  <si>
    <t>SUPERMERCADO MOREL</t>
  </si>
  <si>
    <t>ALIMENTOS,MAT.PLASTICO Y DE LIMP.</t>
  </si>
  <si>
    <t>FARMACIA ELYFIOR</t>
  </si>
  <si>
    <t>Dr. Newton Solano</t>
  </si>
  <si>
    <t>MONTO AL 31 JULIO 2025</t>
  </si>
  <si>
    <t>Aprobado Por:</t>
  </si>
  <si>
    <t>MULTICENTRO EL MANA</t>
  </si>
  <si>
    <t>MULTIGESTIONES YAVIC</t>
  </si>
  <si>
    <t>ROCE DENTAL</t>
  </si>
  <si>
    <t>BP MEDICAL</t>
  </si>
  <si>
    <t>UNIVERSAL DE COMPUTOS</t>
  </si>
  <si>
    <t>MONTO AL 31 DE AGOSTO 2025</t>
  </si>
  <si>
    <t>ABREU LANTIGUA EVENTS</t>
  </si>
  <si>
    <t>SER. ALIMENTACION</t>
  </si>
  <si>
    <t>ARGOS FARMCAEUTICA</t>
  </si>
  <si>
    <t>JAYCO BOUTIQUE</t>
  </si>
  <si>
    <t>MATERIAL DE LIMPIEZA</t>
  </si>
  <si>
    <t>35</t>
  </si>
  <si>
    <t>RONNY PUBLIICIDAD</t>
  </si>
  <si>
    <t>36</t>
  </si>
  <si>
    <t>37</t>
  </si>
  <si>
    <t>38</t>
  </si>
  <si>
    <t>SERVIAMED</t>
  </si>
  <si>
    <t>39</t>
  </si>
  <si>
    <t>40</t>
  </si>
  <si>
    <t>41</t>
  </si>
  <si>
    <t>42</t>
  </si>
  <si>
    <t>43</t>
  </si>
  <si>
    <t>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</si>
</sst>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€_-;\-* #,##0.00\ _€_-;_-* &quot;-&quot;??\ _€_-;_-@_-"/>
    <numFmt numFmtId="165" formatCode="_(* #,##0.00_);_(* \(#,##0.00\);_(* &quot;-&quot;??_);_(@_)"/>
    <numFmt numFmtId="166" formatCode="_-* #,##0.00\ _$_-;\-* #,##0.00\ _$_-;_-* &quot;-&quot;??\ _$_-;_-@_-"/>
    <numFmt numFmtId="167" formatCode="_(&quot;RD$&quot;* #,##0.00_);_(&quot;RD$&quot;* \(#,##0.00\);_(&quot;RD$&quot;* &quot;-&quot;??_);_(@_)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color theme="0"/>
      <name val="Times New Roman"/>
      <family val="1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Times New Roman"/>
      <family val="1"/>
    </font>
    <font>
      <sz val="8"/>
      <name val="Arial"/>
      <family val="2"/>
    </font>
    <font>
      <sz val="8"/>
      <name val="Times New Roman"/>
      <family val="1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 Light"/>
      <family val="1"/>
      <scheme val="maj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9"/>
      <color rgb="FF000000"/>
      <name val="Aptos Narrow"/>
      <family val="2"/>
    </font>
    <font>
      <b/>
      <sz val="9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165" fontId="1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  <xf numFmtId="0" fontId="5" fillId="0" borderId="0"/>
  </cellStyleXfs>
  <cellXfs count="62">
    <xf numFmtId="0" fontId="0" fillId="0" borderId="0" xfId="0"/>
    <xf numFmtId="0" fontId="10" fillId="0" borderId="2" xfId="0" applyFont="1" applyBorder="1"/>
    <xf numFmtId="0" fontId="10" fillId="0" borderId="2" xfId="0" applyFont="1" applyBorder="1" applyAlignment="1">
      <alignment horizontal="center"/>
    </xf>
    <xf numFmtId="165" fontId="10" fillId="0" borderId="2" xfId="1" applyFont="1" applyBorder="1" applyAlignment="1">
      <alignment horizontal="right"/>
    </xf>
    <xf numFmtId="165" fontId="10" fillId="0" borderId="2" xfId="1" applyFont="1" applyBorder="1" applyAlignment="1">
      <alignment horizontal="center"/>
    </xf>
    <xf numFmtId="43" fontId="10" fillId="0" borderId="2" xfId="6" applyFont="1" applyBorder="1" applyAlignment="1">
      <alignment horizontal="center"/>
    </xf>
    <xf numFmtId="0" fontId="13" fillId="0" borderId="2" xfId="0" applyFont="1" applyBorder="1" applyAlignment="1">
      <alignment horizontal="left"/>
    </xf>
    <xf numFmtId="43" fontId="10" fillId="3" borderId="2" xfId="6" applyFont="1" applyFill="1" applyBorder="1" applyAlignment="1">
      <alignment horizontal="center"/>
    </xf>
    <xf numFmtId="165" fontId="10" fillId="3" borderId="2" xfId="1" applyFont="1" applyFill="1" applyBorder="1" applyAlignment="1">
      <alignment horizontal="right"/>
    </xf>
    <xf numFmtId="0" fontId="10" fillId="3" borderId="2" xfId="0" applyFont="1" applyFill="1" applyBorder="1" applyAlignment="1">
      <alignment horizontal="left"/>
    </xf>
    <xf numFmtId="0" fontId="13" fillId="3" borderId="2" xfId="0" applyFont="1" applyFill="1" applyBorder="1" applyAlignment="1">
      <alignment horizontal="left"/>
    </xf>
    <xf numFmtId="0" fontId="10" fillId="3" borderId="2" xfId="0" applyFont="1" applyFill="1" applyBorder="1"/>
    <xf numFmtId="0" fontId="10" fillId="3" borderId="2" xfId="0" applyFont="1" applyFill="1" applyBorder="1" applyAlignment="1">
      <alignment horizontal="left" wrapText="1"/>
    </xf>
    <xf numFmtId="165" fontId="12" fillId="0" borderId="2" xfId="1" applyFont="1" applyBorder="1" applyAlignment="1">
      <alignment horizontal="center"/>
    </xf>
    <xf numFmtId="166" fontId="0" fillId="0" borderId="0" xfId="0" applyNumberFormat="1"/>
    <xf numFmtId="0" fontId="10" fillId="0" borderId="0" xfId="0" applyFont="1"/>
    <xf numFmtId="0" fontId="10" fillId="3" borderId="2" xfId="0" applyFont="1" applyFill="1" applyBorder="1" applyAlignment="1">
      <alignment horizontal="center"/>
    </xf>
    <xf numFmtId="0" fontId="9" fillId="0" borderId="0" xfId="0" applyFont="1"/>
    <xf numFmtId="0" fontId="10" fillId="0" borderId="0" xfId="0" applyFont="1" applyAlignment="1">
      <alignment wrapText="1"/>
    </xf>
    <xf numFmtId="0" fontId="0" fillId="0" borderId="0" xfId="0" applyAlignment="1">
      <alignment horizontal="center"/>
    </xf>
    <xf numFmtId="4" fontId="12" fillId="3" borderId="2" xfId="0" applyNumberFormat="1" applyFont="1" applyFill="1" applyBorder="1" applyAlignment="1">
      <alignment horizontal="center"/>
    </xf>
    <xf numFmtId="165" fontId="10" fillId="3" borderId="2" xfId="1" applyFont="1" applyFill="1" applyBorder="1" applyAlignment="1">
      <alignment horizontal="center"/>
    </xf>
    <xf numFmtId="0" fontId="15" fillId="0" borderId="0" xfId="0" applyFont="1"/>
    <xf numFmtId="0" fontId="15" fillId="0" borderId="0" xfId="0" applyFont="1" applyAlignment="1">
      <alignment horizontal="left"/>
    </xf>
    <xf numFmtId="43" fontId="10" fillId="0" borderId="2" xfId="6" applyFont="1" applyBorder="1" applyAlignment="1">
      <alignment horizontal="right"/>
    </xf>
    <xf numFmtId="0" fontId="2" fillId="0" borderId="0" xfId="0" applyFont="1" applyAlignment="1">
      <alignment horizontal="left"/>
    </xf>
    <xf numFmtId="43" fontId="17" fillId="0" borderId="2" xfId="6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7" fillId="0" borderId="0" xfId="0" applyFont="1"/>
    <xf numFmtId="0" fontId="18" fillId="0" borderId="0" xfId="0" applyFont="1" applyAlignment="1">
      <alignment horizontal="center"/>
    </xf>
    <xf numFmtId="43" fontId="20" fillId="0" borderId="0" xfId="0" applyNumberFormat="1" applyFont="1"/>
    <xf numFmtId="0" fontId="19" fillId="0" borderId="0" xfId="0" applyFont="1"/>
    <xf numFmtId="43" fontId="10" fillId="3" borderId="1" xfId="6" applyFont="1" applyFill="1" applyBorder="1" applyAlignment="1">
      <alignment horizontal="right"/>
    </xf>
    <xf numFmtId="43" fontId="10" fillId="0" borderId="1" xfId="6" applyFont="1" applyFill="1" applyBorder="1" applyAlignment="1">
      <alignment horizontal="right"/>
    </xf>
    <xf numFmtId="43" fontId="10" fillId="0" borderId="1" xfId="6" applyFont="1" applyBorder="1" applyAlignment="1">
      <alignment horizontal="right"/>
    </xf>
    <xf numFmtId="0" fontId="11" fillId="2" borderId="10" xfId="0" applyFont="1" applyFill="1" applyBorder="1" applyAlignment="1">
      <alignment horizontal="center" wrapText="1"/>
    </xf>
    <xf numFmtId="0" fontId="11" fillId="2" borderId="8" xfId="0" applyFont="1" applyFill="1" applyBorder="1" applyAlignment="1">
      <alignment horizontal="center" wrapText="1"/>
    </xf>
    <xf numFmtId="0" fontId="11" fillId="2" borderId="9" xfId="0" applyFont="1" applyFill="1" applyBorder="1" applyAlignment="1">
      <alignment horizontal="center" wrapText="1"/>
    </xf>
    <xf numFmtId="165" fontId="10" fillId="0" borderId="3" xfId="1" applyFont="1" applyBorder="1" applyAlignment="1">
      <alignment horizontal="right"/>
    </xf>
    <xf numFmtId="165" fontId="10" fillId="3" borderId="3" xfId="1" applyFont="1" applyFill="1" applyBorder="1" applyAlignment="1">
      <alignment horizontal="center"/>
    </xf>
    <xf numFmtId="165" fontId="10" fillId="0" borderId="3" xfId="1" applyFont="1" applyBorder="1" applyAlignment="1">
      <alignment horizontal="center"/>
    </xf>
    <xf numFmtId="0" fontId="12" fillId="3" borderId="2" xfId="0" applyFont="1" applyFill="1" applyBorder="1" applyAlignment="1">
      <alignment horizontal="left"/>
    </xf>
    <xf numFmtId="43" fontId="11" fillId="4" borderId="8" xfId="6" applyFont="1" applyFill="1" applyBorder="1" applyAlignment="1">
      <alignment horizontal="right"/>
    </xf>
    <xf numFmtId="43" fontId="11" fillId="4" borderId="9" xfId="6" applyFont="1" applyFill="1" applyBorder="1" applyAlignment="1">
      <alignment horizontal="right"/>
    </xf>
    <xf numFmtId="0" fontId="2" fillId="2" borderId="8" xfId="0" applyFont="1" applyFill="1" applyBorder="1" applyAlignment="1">
      <alignment horizontal="center" wrapText="1"/>
    </xf>
    <xf numFmtId="0" fontId="9" fillId="0" borderId="0" xfId="0" applyFont="1" applyAlignment="1">
      <alignment horizontal="center" wrapText="1"/>
    </xf>
    <xf numFmtId="0" fontId="21" fillId="2" borderId="11" xfId="0" applyFont="1" applyFill="1" applyBorder="1" applyAlignment="1">
      <alignment horizontal="center" wrapText="1"/>
    </xf>
    <xf numFmtId="43" fontId="10" fillId="5" borderId="2" xfId="6" applyFont="1" applyFill="1" applyBorder="1" applyAlignment="1">
      <alignment horizontal="center"/>
    </xf>
    <xf numFmtId="49" fontId="11" fillId="2" borderId="6" xfId="0" applyNumberFormat="1" applyFont="1" applyFill="1" applyBorder="1" applyAlignment="1">
      <alignment horizontal="center" wrapText="1"/>
    </xf>
    <xf numFmtId="0" fontId="14" fillId="3" borderId="2" xfId="0" applyFont="1" applyFill="1" applyBorder="1" applyAlignment="1">
      <alignment horizontal="left"/>
    </xf>
    <xf numFmtId="165" fontId="10" fillId="0" borderId="2" xfId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1" fillId="4" borderId="4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0" fontId="11" fillId="4" borderId="7" xfId="0" applyFont="1" applyFill="1" applyBorder="1" applyAlignment="1">
      <alignment horizontal="center"/>
    </xf>
    <xf numFmtId="0" fontId="10" fillId="0" borderId="0" xfId="0" applyFont="1" applyAlignment="1">
      <alignment horizontal="center"/>
    </xf>
  </cellXfs>
  <cellStyles count="11">
    <cellStyle name="Millares" xfId="1" builtinId="3"/>
    <cellStyle name="Millares 2" xfId="4"/>
    <cellStyle name="Millares 2 2" xfId="6"/>
    <cellStyle name="Millares 2 3" xfId="5"/>
    <cellStyle name="Millares 2 4" xfId="7"/>
    <cellStyle name="Millares 9" xfId="3"/>
    <cellStyle name="Moneda 2" xfId="8"/>
    <cellStyle name="Normal" xfId="0" builtinId="0"/>
    <cellStyle name="Normal 2 2" xfId="2"/>
    <cellStyle name="Normal 3" xfId="9"/>
    <cellStyle name="Normal 4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0"/>
  <sheetViews>
    <sheetView tabSelected="1" zoomScale="130" zoomScaleNormal="130" workbookViewId="0">
      <selection activeCell="A3" sqref="A3:Y3"/>
    </sheetView>
  </sheetViews>
  <sheetFormatPr baseColWidth="10" defaultRowHeight="15"/>
  <cols>
    <col min="1" max="1" width="6.140625" customWidth="1"/>
    <col min="2" max="2" width="26.5703125" customWidth="1"/>
    <col min="3" max="3" width="25.7109375" hidden="1" customWidth="1"/>
    <col min="4" max="4" width="5.5703125" hidden="1" customWidth="1"/>
    <col min="5" max="5" width="13.140625" customWidth="1"/>
    <col min="6" max="6" width="12.42578125" customWidth="1"/>
    <col min="7" max="7" width="13.7109375" customWidth="1"/>
    <col min="8" max="10" width="11.85546875" customWidth="1"/>
    <col min="11" max="11" width="13.42578125" customWidth="1"/>
    <col min="12" max="12" width="10.5703125" customWidth="1"/>
    <col min="13" max="13" width="12.140625" customWidth="1"/>
    <col min="14" max="14" width="13.28515625" customWidth="1"/>
    <col min="15" max="15" width="14.28515625" hidden="1" customWidth="1"/>
    <col min="16" max="16" width="0.140625" hidden="1" customWidth="1"/>
    <col min="17" max="17" width="0.28515625" hidden="1" customWidth="1"/>
    <col min="18" max="18" width="14.42578125" bestFit="1" customWidth="1"/>
    <col min="19" max="19" width="15.7109375" hidden="1" customWidth="1"/>
    <col min="20" max="20" width="14.5703125" customWidth="1"/>
    <col min="21" max="21" width="16.28515625" hidden="1" customWidth="1"/>
    <col min="22" max="22" width="14.85546875" hidden="1" customWidth="1"/>
    <col min="23" max="23" width="16" hidden="1" customWidth="1"/>
    <col min="24" max="24" width="15.140625" hidden="1" customWidth="1"/>
    <col min="25" max="25" width="15.140625" customWidth="1"/>
    <col min="26" max="26" width="12.7109375" bestFit="1" customWidth="1"/>
    <col min="27" max="27" width="16.28515625" bestFit="1" customWidth="1"/>
  </cols>
  <sheetData>
    <row r="1" spans="1:25" ht="15.75" customHeight="1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</row>
    <row r="2" spans="1:25" ht="15.75" customHeight="1">
      <c r="A2" s="57" t="s">
        <v>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spans="1:25" ht="15.75" customHeight="1">
      <c r="A3" s="57" t="s">
        <v>115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</row>
    <row r="4" spans="1: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</row>
    <row r="5" spans="1:25" ht="15.75">
      <c r="A5" s="54" t="s">
        <v>12</v>
      </c>
      <c r="B5" s="54"/>
      <c r="C5" s="54"/>
      <c r="D5" s="54"/>
      <c r="E5" s="54"/>
      <c r="F5" s="54"/>
      <c r="G5" s="54"/>
      <c r="H5" s="15"/>
      <c r="I5" s="15"/>
      <c r="J5" s="15"/>
      <c r="K5" s="15"/>
      <c r="L5" s="15"/>
      <c r="M5" s="15" t="s">
        <v>128</v>
      </c>
      <c r="N5" s="15" t="s">
        <v>132</v>
      </c>
      <c r="O5" s="15" t="s">
        <v>81</v>
      </c>
      <c r="P5" s="15" t="s">
        <v>6</v>
      </c>
      <c r="Q5" s="15" t="s">
        <v>129</v>
      </c>
      <c r="R5" s="15" t="s">
        <v>7</v>
      </c>
      <c r="S5" s="15"/>
      <c r="T5" s="15"/>
      <c r="U5" s="15"/>
      <c r="V5" s="15"/>
      <c r="W5" s="15"/>
      <c r="X5" s="15"/>
      <c r="Y5" s="15"/>
    </row>
    <row r="6" spans="1:25" ht="15.75" thickBo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  <row r="7" spans="1:25" ht="28.5" customHeight="1" thickBot="1">
      <c r="A7" s="37" t="s">
        <v>1</v>
      </c>
      <c r="B7" s="46" t="s">
        <v>3</v>
      </c>
      <c r="C7" s="38" t="s">
        <v>9</v>
      </c>
      <c r="D7" s="38" t="s">
        <v>4</v>
      </c>
      <c r="E7" s="48" t="s">
        <v>130</v>
      </c>
      <c r="F7" s="38" t="s">
        <v>121</v>
      </c>
      <c r="G7" s="38" t="s">
        <v>122</v>
      </c>
      <c r="H7" s="38" t="s">
        <v>123</v>
      </c>
      <c r="I7" s="38" t="s">
        <v>124</v>
      </c>
      <c r="J7" s="38" t="s">
        <v>125</v>
      </c>
      <c r="K7" s="38" t="s">
        <v>126</v>
      </c>
      <c r="L7" s="38" t="s">
        <v>10</v>
      </c>
      <c r="M7" s="38" t="s">
        <v>75</v>
      </c>
      <c r="N7" s="38" t="s">
        <v>113</v>
      </c>
      <c r="O7" s="38" t="s">
        <v>114</v>
      </c>
      <c r="P7" s="38" t="s">
        <v>119</v>
      </c>
      <c r="Q7" s="38" t="s">
        <v>120</v>
      </c>
      <c r="R7" s="38" t="s">
        <v>137</v>
      </c>
      <c r="S7" s="38" t="s">
        <v>76</v>
      </c>
      <c r="T7" s="38" t="s">
        <v>144</v>
      </c>
      <c r="U7" s="38" t="s">
        <v>77</v>
      </c>
      <c r="V7" s="38" t="s">
        <v>78</v>
      </c>
      <c r="W7" s="38" t="s">
        <v>79</v>
      </c>
      <c r="X7" s="38" t="s">
        <v>80</v>
      </c>
      <c r="Y7" s="39" t="s">
        <v>5</v>
      </c>
    </row>
    <row r="8" spans="1:25">
      <c r="A8" s="50" t="s">
        <v>86</v>
      </c>
      <c r="B8" s="43" t="s">
        <v>14</v>
      </c>
      <c r="C8" s="1" t="s">
        <v>15</v>
      </c>
      <c r="D8" s="2" t="s">
        <v>55</v>
      </c>
      <c r="E8" s="3">
        <v>0</v>
      </c>
      <c r="F8" s="3">
        <v>0</v>
      </c>
      <c r="G8" s="3">
        <v>0</v>
      </c>
      <c r="H8" s="40">
        <v>0</v>
      </c>
      <c r="I8" s="40">
        <v>0</v>
      </c>
      <c r="J8" s="40">
        <v>0</v>
      </c>
      <c r="K8" s="3">
        <v>2300</v>
      </c>
      <c r="L8" s="40">
        <v>0</v>
      </c>
      <c r="M8" s="40">
        <v>0</v>
      </c>
      <c r="N8" s="40">
        <v>0</v>
      </c>
      <c r="O8" s="41">
        <f t="shared" ref="O8:O9" si="0">203107.36+30977.46+202834.96+27210.31-464130.09</f>
        <v>0</v>
      </c>
      <c r="P8" s="42">
        <v>0</v>
      </c>
      <c r="Q8" s="5">
        <v>0</v>
      </c>
      <c r="R8" s="5">
        <v>0</v>
      </c>
      <c r="S8" s="5">
        <v>0</v>
      </c>
      <c r="T8" s="5">
        <v>0</v>
      </c>
      <c r="U8" s="7">
        <v>0</v>
      </c>
      <c r="V8" s="5">
        <v>0</v>
      </c>
      <c r="W8" s="5">
        <v>0</v>
      </c>
      <c r="X8" s="7">
        <v>0</v>
      </c>
      <c r="Y8" s="35">
        <f t="shared" ref="Y8:Y18" si="1">SUM(E8:X8)</f>
        <v>2300</v>
      </c>
    </row>
    <row r="9" spans="1:25">
      <c r="A9" s="50" t="s">
        <v>65</v>
      </c>
      <c r="B9" s="10" t="s">
        <v>145</v>
      </c>
      <c r="C9" s="1" t="s">
        <v>146</v>
      </c>
      <c r="D9" s="2" t="s">
        <v>55</v>
      </c>
      <c r="E9" s="8">
        <v>0</v>
      </c>
      <c r="F9" s="8">
        <v>0</v>
      </c>
      <c r="G9" s="8">
        <v>0</v>
      </c>
      <c r="H9" s="40">
        <v>0</v>
      </c>
      <c r="I9" s="40">
        <v>0</v>
      </c>
      <c r="J9" s="40">
        <v>0</v>
      </c>
      <c r="K9" s="8">
        <v>0</v>
      </c>
      <c r="L9" s="40">
        <v>0</v>
      </c>
      <c r="M9" s="40">
        <v>0</v>
      </c>
      <c r="N9" s="40">
        <v>0</v>
      </c>
      <c r="O9" s="41">
        <f t="shared" si="0"/>
        <v>0</v>
      </c>
      <c r="P9" s="42">
        <v>0</v>
      </c>
      <c r="Q9" s="7">
        <v>0</v>
      </c>
      <c r="R9" s="5"/>
      <c r="S9" s="7">
        <v>0</v>
      </c>
      <c r="T9" s="7">
        <f>15623+24780</f>
        <v>40403</v>
      </c>
      <c r="U9" s="7">
        <v>0</v>
      </c>
      <c r="V9" s="5">
        <v>0</v>
      </c>
      <c r="W9" s="7"/>
      <c r="X9" s="7">
        <v>0</v>
      </c>
      <c r="Y9" s="35">
        <f t="shared" si="1"/>
        <v>40403</v>
      </c>
    </row>
    <row r="10" spans="1:25">
      <c r="A10" s="50" t="s">
        <v>87</v>
      </c>
      <c r="B10" s="10" t="s">
        <v>16</v>
      </c>
      <c r="C10" s="1"/>
      <c r="D10" s="2"/>
      <c r="E10" s="8"/>
      <c r="F10" s="8"/>
      <c r="G10" s="8"/>
      <c r="H10" s="40"/>
      <c r="I10" s="40"/>
      <c r="J10" s="40"/>
      <c r="K10" s="8"/>
      <c r="L10" s="40"/>
      <c r="M10" s="40"/>
      <c r="N10" s="40"/>
      <c r="O10" s="41"/>
      <c r="P10" s="42"/>
      <c r="Q10" s="7"/>
      <c r="R10" s="5">
        <f>3675+4300</f>
        <v>7975</v>
      </c>
      <c r="S10" s="7"/>
      <c r="T10" s="7">
        <f>3450+3495+4665+4050+1200</f>
        <v>16860</v>
      </c>
      <c r="U10" s="7"/>
      <c r="V10" s="5"/>
      <c r="W10" s="7"/>
      <c r="X10" s="7"/>
      <c r="Y10" s="35">
        <f t="shared" si="1"/>
        <v>24835</v>
      </c>
    </row>
    <row r="11" spans="1:25">
      <c r="A11" s="50" t="s">
        <v>88</v>
      </c>
      <c r="B11" s="10" t="s">
        <v>147</v>
      </c>
      <c r="C11" s="1"/>
      <c r="D11" s="2"/>
      <c r="E11" s="8"/>
      <c r="F11" s="8"/>
      <c r="G11" s="8"/>
      <c r="H11" s="40"/>
      <c r="I11" s="40"/>
      <c r="J11" s="40"/>
      <c r="K11" s="8"/>
      <c r="L11" s="40"/>
      <c r="M11" s="40"/>
      <c r="N11" s="40"/>
      <c r="O11" s="41"/>
      <c r="P11" s="42"/>
      <c r="Q11" s="7"/>
      <c r="R11" s="7"/>
      <c r="S11" s="7"/>
      <c r="T11" s="7">
        <v>14900</v>
      </c>
      <c r="U11" s="7"/>
      <c r="V11" s="5"/>
      <c r="W11" s="7"/>
      <c r="X11" s="7"/>
      <c r="Y11" s="35">
        <f t="shared" si="1"/>
        <v>14900</v>
      </c>
    </row>
    <row r="12" spans="1:25">
      <c r="A12" s="50" t="s">
        <v>66</v>
      </c>
      <c r="B12" s="10" t="s">
        <v>131</v>
      </c>
      <c r="C12" s="1"/>
      <c r="D12" s="2"/>
      <c r="E12" s="8"/>
      <c r="F12" s="8"/>
      <c r="G12" s="8"/>
      <c r="H12" s="40"/>
      <c r="I12" s="40"/>
      <c r="J12" s="40"/>
      <c r="K12" s="8"/>
      <c r="L12" s="40"/>
      <c r="M12" s="40"/>
      <c r="N12" s="40"/>
      <c r="O12" s="41"/>
      <c r="P12" s="42"/>
      <c r="Q12" s="7">
        <v>0</v>
      </c>
      <c r="R12" s="7">
        <f>4010+37458.65-41468.65</f>
        <v>0</v>
      </c>
      <c r="S12" s="7"/>
      <c r="T12" s="7">
        <f>73677.63+14815.01</f>
        <v>88492.64</v>
      </c>
      <c r="U12" s="7"/>
      <c r="V12" s="5"/>
      <c r="W12" s="7"/>
      <c r="X12" s="7"/>
      <c r="Y12" s="35">
        <f t="shared" si="1"/>
        <v>88492.64</v>
      </c>
    </row>
    <row r="13" spans="1:25">
      <c r="A13" s="50" t="s">
        <v>67</v>
      </c>
      <c r="B13" s="51" t="s">
        <v>116</v>
      </c>
      <c r="C13" s="1"/>
      <c r="D13" s="2"/>
      <c r="E13" s="3"/>
      <c r="F13" s="3"/>
      <c r="G13" s="3"/>
      <c r="H13" s="40"/>
      <c r="I13" s="40"/>
      <c r="J13" s="40"/>
      <c r="K13" s="8"/>
      <c r="L13" s="40"/>
      <c r="M13" s="40"/>
      <c r="N13" s="40"/>
      <c r="O13" s="41"/>
      <c r="P13" s="42"/>
      <c r="Q13" s="5"/>
      <c r="R13" s="5">
        <f>139925.5-139925.5</f>
        <v>0</v>
      </c>
      <c r="S13" s="5"/>
      <c r="T13" s="5">
        <f>238261.4-13500.5+13500.5+21073-238261.4</f>
        <v>21073</v>
      </c>
      <c r="U13" s="7"/>
      <c r="V13" s="5"/>
      <c r="W13" s="7"/>
      <c r="X13" s="7"/>
      <c r="Y13" s="35">
        <f t="shared" si="1"/>
        <v>21073</v>
      </c>
    </row>
    <row r="14" spans="1:25">
      <c r="A14" s="50" t="s">
        <v>68</v>
      </c>
      <c r="B14" s="6" t="s">
        <v>142</v>
      </c>
      <c r="C14" s="1"/>
      <c r="D14" s="2"/>
      <c r="E14" s="8"/>
      <c r="F14" s="8"/>
      <c r="G14" s="8"/>
      <c r="H14" s="40"/>
      <c r="I14" s="40"/>
      <c r="J14" s="40"/>
      <c r="K14" s="8"/>
      <c r="L14" s="40"/>
      <c r="M14" s="40"/>
      <c r="N14" s="40"/>
      <c r="O14" s="21"/>
      <c r="P14" s="52"/>
      <c r="Q14" s="5"/>
      <c r="R14" s="5"/>
      <c r="S14" s="7"/>
      <c r="T14" s="7">
        <f>26066.2</f>
        <v>26066.2</v>
      </c>
      <c r="U14" s="7"/>
      <c r="V14" s="7"/>
      <c r="W14" s="7"/>
      <c r="X14" s="7"/>
      <c r="Y14" s="35">
        <f t="shared" si="1"/>
        <v>26066.2</v>
      </c>
    </row>
    <row r="15" spans="1:25">
      <c r="A15" s="50" t="s">
        <v>69</v>
      </c>
      <c r="B15" s="6" t="s">
        <v>21</v>
      </c>
      <c r="C15" s="1" t="s">
        <v>22</v>
      </c>
      <c r="D15" s="2" t="s">
        <v>55</v>
      </c>
      <c r="E15" s="8">
        <v>0</v>
      </c>
      <c r="F15" s="8">
        <v>0</v>
      </c>
      <c r="G15" s="8">
        <v>0</v>
      </c>
      <c r="H15" s="40">
        <v>0</v>
      </c>
      <c r="I15" s="40">
        <v>0</v>
      </c>
      <c r="J15" s="40">
        <v>0</v>
      </c>
      <c r="K15" s="8">
        <v>62121.25</v>
      </c>
      <c r="L15" s="40">
        <v>0</v>
      </c>
      <c r="M15" s="40">
        <v>0</v>
      </c>
      <c r="N15" s="40">
        <v>0</v>
      </c>
      <c r="O15" s="21">
        <v>0</v>
      </c>
      <c r="P15" s="4">
        <v>0</v>
      </c>
      <c r="Q15" s="5">
        <v>0</v>
      </c>
      <c r="R15" s="5">
        <v>0</v>
      </c>
      <c r="S15" s="5">
        <v>0</v>
      </c>
      <c r="T15" s="7">
        <v>0</v>
      </c>
      <c r="U15" s="7">
        <v>0</v>
      </c>
      <c r="V15" s="5">
        <v>0</v>
      </c>
      <c r="W15" s="7">
        <v>0</v>
      </c>
      <c r="X15" s="7">
        <v>0</v>
      </c>
      <c r="Y15" s="35">
        <f t="shared" si="1"/>
        <v>62121.25</v>
      </c>
    </row>
    <row r="16" spans="1:25">
      <c r="A16" s="50" t="s">
        <v>89</v>
      </c>
      <c r="B16" s="9" t="s">
        <v>23</v>
      </c>
      <c r="C16" s="11" t="s">
        <v>24</v>
      </c>
      <c r="D16" s="16" t="s">
        <v>55</v>
      </c>
      <c r="E16" s="3">
        <v>0</v>
      </c>
      <c r="F16" s="3">
        <v>0</v>
      </c>
      <c r="G16" s="8">
        <v>0</v>
      </c>
      <c r="H16" s="40">
        <v>0</v>
      </c>
      <c r="I16" s="40">
        <v>0</v>
      </c>
      <c r="J16" s="40">
        <v>0</v>
      </c>
      <c r="K16" s="3">
        <v>0</v>
      </c>
      <c r="L16" s="40">
        <v>0</v>
      </c>
      <c r="M16" s="40">
        <v>0</v>
      </c>
      <c r="N16" s="40">
        <v>0</v>
      </c>
      <c r="O16" s="21">
        <v>0</v>
      </c>
      <c r="P16" s="4">
        <v>0</v>
      </c>
      <c r="Q16" s="7">
        <f>502275-502275</f>
        <v>0</v>
      </c>
      <c r="R16" s="7">
        <f>820580-820580</f>
        <v>0</v>
      </c>
      <c r="S16" s="7">
        <f>286046+28503-314549</f>
        <v>0</v>
      </c>
      <c r="T16" s="7">
        <f>707940-2800</f>
        <v>705140</v>
      </c>
      <c r="U16" s="7">
        <f>438851-438851</f>
        <v>0</v>
      </c>
      <c r="V16" s="7">
        <v>0</v>
      </c>
      <c r="W16" s="7">
        <f>340729-340729</f>
        <v>0</v>
      </c>
      <c r="X16" s="49">
        <v>0</v>
      </c>
      <c r="Y16" s="34">
        <f t="shared" si="1"/>
        <v>705140</v>
      </c>
    </row>
    <row r="17" spans="1:25">
      <c r="A17" s="50" t="s">
        <v>70</v>
      </c>
      <c r="B17" s="6" t="s">
        <v>25</v>
      </c>
      <c r="C17" s="1" t="s">
        <v>17</v>
      </c>
      <c r="D17" s="2" t="s">
        <v>55</v>
      </c>
      <c r="E17" s="3">
        <v>0</v>
      </c>
      <c r="F17" s="3">
        <v>0</v>
      </c>
      <c r="G17" s="8">
        <v>0</v>
      </c>
      <c r="H17" s="40">
        <v>0</v>
      </c>
      <c r="I17" s="3">
        <f>7954</f>
        <v>7954</v>
      </c>
      <c r="J17" s="3">
        <v>1280</v>
      </c>
      <c r="K17" s="3">
        <v>0</v>
      </c>
      <c r="L17" s="40">
        <v>0</v>
      </c>
      <c r="M17" s="40">
        <v>0</v>
      </c>
      <c r="N17" s="40">
        <v>0</v>
      </c>
      <c r="O17" s="21">
        <v>0</v>
      </c>
      <c r="P17" s="4">
        <v>0</v>
      </c>
      <c r="Q17" s="5">
        <v>0</v>
      </c>
      <c r="R17" s="7">
        <v>0</v>
      </c>
      <c r="S17" s="5">
        <v>0</v>
      </c>
      <c r="T17" s="5">
        <v>0</v>
      </c>
      <c r="U17" s="7">
        <v>0</v>
      </c>
      <c r="V17" s="5">
        <v>0</v>
      </c>
      <c r="W17" s="7">
        <v>0</v>
      </c>
      <c r="X17" s="7">
        <v>0</v>
      </c>
      <c r="Y17" s="35">
        <f t="shared" si="1"/>
        <v>9234</v>
      </c>
    </row>
    <row r="18" spans="1:25">
      <c r="A18" s="50" t="s">
        <v>90</v>
      </c>
      <c r="B18" s="10" t="s">
        <v>26</v>
      </c>
      <c r="C18" s="1" t="s">
        <v>27</v>
      </c>
      <c r="D18" s="2" t="s">
        <v>55</v>
      </c>
      <c r="E18" s="3">
        <v>8000</v>
      </c>
      <c r="F18" s="3">
        <v>0</v>
      </c>
      <c r="G18" s="8">
        <v>0</v>
      </c>
      <c r="H18" s="40">
        <v>0</v>
      </c>
      <c r="I18" s="3">
        <v>0</v>
      </c>
      <c r="J18" s="3">
        <v>0</v>
      </c>
      <c r="K18" s="3">
        <v>0</v>
      </c>
      <c r="L18" s="40">
        <v>0</v>
      </c>
      <c r="M18" s="40">
        <v>0</v>
      </c>
      <c r="N18" s="40">
        <v>0</v>
      </c>
      <c r="O18" s="21">
        <v>0</v>
      </c>
      <c r="P18" s="4">
        <v>0</v>
      </c>
      <c r="Q18" s="5">
        <v>0</v>
      </c>
      <c r="R18" s="7">
        <v>0</v>
      </c>
      <c r="S18" s="5">
        <v>0</v>
      </c>
      <c r="T18" s="5">
        <v>0</v>
      </c>
      <c r="U18" s="7">
        <v>0</v>
      </c>
      <c r="V18" s="5">
        <v>0</v>
      </c>
      <c r="W18" s="7">
        <v>0</v>
      </c>
      <c r="X18" s="7">
        <v>0</v>
      </c>
      <c r="Y18" s="35">
        <f t="shared" si="1"/>
        <v>8000</v>
      </c>
    </row>
    <row r="19" spans="1:25">
      <c r="A19" s="50" t="s">
        <v>91</v>
      </c>
      <c r="B19" s="10" t="s">
        <v>106</v>
      </c>
      <c r="C19" s="1" t="s">
        <v>107</v>
      </c>
      <c r="D19" s="2" t="s">
        <v>55</v>
      </c>
      <c r="E19" s="3">
        <v>0</v>
      </c>
      <c r="F19" s="3">
        <v>0</v>
      </c>
      <c r="G19" s="8">
        <v>0</v>
      </c>
      <c r="H19" s="40">
        <v>0</v>
      </c>
      <c r="I19" s="3">
        <v>0</v>
      </c>
      <c r="J19" s="3">
        <v>0</v>
      </c>
      <c r="K19" s="3">
        <v>0</v>
      </c>
      <c r="L19" s="40">
        <v>0</v>
      </c>
      <c r="M19" s="40">
        <v>0</v>
      </c>
      <c r="N19" s="7">
        <f>135582</f>
        <v>135582</v>
      </c>
      <c r="O19" s="21">
        <v>0</v>
      </c>
      <c r="P19" s="4">
        <v>0</v>
      </c>
      <c r="Q19" s="5">
        <v>0</v>
      </c>
      <c r="R19" s="7"/>
      <c r="S19" s="5"/>
      <c r="T19" s="5"/>
      <c r="U19" s="7"/>
      <c r="V19" s="5"/>
      <c r="W19" s="7">
        <f>135582</f>
        <v>135582</v>
      </c>
      <c r="X19" s="7"/>
      <c r="Y19" s="35">
        <f>135582</f>
        <v>135582</v>
      </c>
    </row>
    <row r="20" spans="1:25">
      <c r="A20" s="50" t="s">
        <v>92</v>
      </c>
      <c r="B20" s="12" t="s">
        <v>28</v>
      </c>
      <c r="C20" s="1" t="s">
        <v>20</v>
      </c>
      <c r="D20" s="2" t="s">
        <v>55</v>
      </c>
      <c r="E20" s="3">
        <v>0</v>
      </c>
      <c r="F20" s="3">
        <v>4720</v>
      </c>
      <c r="G20" s="3">
        <v>32568</v>
      </c>
      <c r="H20" s="3">
        <v>6372</v>
      </c>
      <c r="I20" s="3">
        <v>0</v>
      </c>
      <c r="J20" s="3">
        <v>0</v>
      </c>
      <c r="K20" s="3">
        <v>0</v>
      </c>
      <c r="L20" s="40">
        <v>0</v>
      </c>
      <c r="M20" s="40">
        <v>0</v>
      </c>
      <c r="N20" s="7">
        <v>0</v>
      </c>
      <c r="O20" s="21">
        <v>0</v>
      </c>
      <c r="P20" s="4">
        <v>0</v>
      </c>
      <c r="Q20" s="5">
        <v>0</v>
      </c>
      <c r="R20" s="7">
        <v>0</v>
      </c>
      <c r="S20" s="5">
        <v>0</v>
      </c>
      <c r="T20" s="5">
        <v>0</v>
      </c>
      <c r="U20" s="7">
        <v>0</v>
      </c>
      <c r="V20" s="5">
        <v>0</v>
      </c>
      <c r="W20" s="7">
        <v>0</v>
      </c>
      <c r="X20" s="7">
        <v>0</v>
      </c>
      <c r="Y20" s="35">
        <f t="shared" ref="Y20:Y30" si="2">SUM(E20:X20)</f>
        <v>43660</v>
      </c>
    </row>
    <row r="21" spans="1:25">
      <c r="A21" s="50" t="s">
        <v>82</v>
      </c>
      <c r="B21" s="6" t="s">
        <v>58</v>
      </c>
      <c r="C21" s="1" t="s">
        <v>32</v>
      </c>
      <c r="D21" s="2" t="s">
        <v>55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40">
        <v>0</v>
      </c>
      <c r="M21" s="24">
        <f>47790</f>
        <v>47790</v>
      </c>
      <c r="N21" s="7">
        <v>0</v>
      </c>
      <c r="O21" s="21">
        <v>0</v>
      </c>
      <c r="P21" s="4">
        <v>0</v>
      </c>
      <c r="Q21" s="5">
        <v>0</v>
      </c>
      <c r="R21" s="7"/>
      <c r="S21" s="5"/>
      <c r="T21" s="5"/>
      <c r="U21" s="7"/>
      <c r="V21" s="7"/>
      <c r="W21" s="7"/>
      <c r="X21" s="7"/>
      <c r="Y21" s="35">
        <f t="shared" si="2"/>
        <v>47790</v>
      </c>
    </row>
    <row r="22" spans="1:25">
      <c r="A22" s="50" t="s">
        <v>93</v>
      </c>
      <c r="B22" s="12" t="s">
        <v>29</v>
      </c>
      <c r="C22" s="1" t="s">
        <v>30</v>
      </c>
      <c r="D22" s="2" t="s">
        <v>55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2366</v>
      </c>
      <c r="L22" s="40">
        <v>0</v>
      </c>
      <c r="M22" s="3">
        <v>0</v>
      </c>
      <c r="N22" s="7">
        <v>0</v>
      </c>
      <c r="O22" s="21">
        <v>0</v>
      </c>
      <c r="P22" s="4">
        <v>0</v>
      </c>
      <c r="Q22" s="5">
        <v>0</v>
      </c>
      <c r="R22" s="7">
        <v>0</v>
      </c>
      <c r="S22" s="5">
        <v>0</v>
      </c>
      <c r="T22" s="5">
        <v>0</v>
      </c>
      <c r="U22" s="7">
        <v>0</v>
      </c>
      <c r="V22" s="7">
        <v>0</v>
      </c>
      <c r="W22" s="7">
        <v>0</v>
      </c>
      <c r="X22" s="7">
        <v>0</v>
      </c>
      <c r="Y22" s="35">
        <f t="shared" si="2"/>
        <v>2366</v>
      </c>
    </row>
    <row r="23" spans="1:25">
      <c r="A23" s="50" t="s">
        <v>94</v>
      </c>
      <c r="B23" s="12" t="s">
        <v>135</v>
      </c>
      <c r="C23" s="1"/>
      <c r="D23" s="2"/>
      <c r="E23" s="3"/>
      <c r="F23" s="3"/>
      <c r="G23" s="3"/>
      <c r="H23" s="3"/>
      <c r="I23" s="3"/>
      <c r="J23" s="3"/>
      <c r="K23" s="3"/>
      <c r="L23" s="40"/>
      <c r="M23" s="3"/>
      <c r="N23" s="7"/>
      <c r="O23" s="21"/>
      <c r="P23" s="4"/>
      <c r="Q23" s="5"/>
      <c r="R23" s="5">
        <v>0</v>
      </c>
      <c r="S23" s="5"/>
      <c r="T23" s="5">
        <f>7215+1282.11</f>
        <v>8497.11</v>
      </c>
      <c r="U23" s="7"/>
      <c r="V23" s="7"/>
      <c r="W23" s="7"/>
      <c r="X23" s="7"/>
      <c r="Y23" s="35">
        <f t="shared" si="2"/>
        <v>8497.11</v>
      </c>
    </row>
    <row r="24" spans="1:25">
      <c r="A24" s="50" t="s">
        <v>95</v>
      </c>
      <c r="B24" s="12" t="s">
        <v>108</v>
      </c>
      <c r="C24" s="1" t="s">
        <v>109</v>
      </c>
      <c r="D24" s="2" t="s">
        <v>55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40">
        <v>0</v>
      </c>
      <c r="M24" s="3">
        <v>0</v>
      </c>
      <c r="N24" s="7">
        <f>649547.52-324773.76</f>
        <v>324773.76000000001</v>
      </c>
      <c r="O24" s="21">
        <v>0</v>
      </c>
      <c r="P24" s="4">
        <v>0</v>
      </c>
      <c r="Q24" s="5">
        <v>0</v>
      </c>
      <c r="R24" s="5"/>
      <c r="S24" s="7"/>
      <c r="T24" s="7"/>
      <c r="U24" s="7"/>
      <c r="V24" s="7"/>
      <c r="W24" s="7"/>
      <c r="X24" s="7">
        <v>0</v>
      </c>
      <c r="Y24" s="35">
        <f t="shared" si="2"/>
        <v>324773.76000000001</v>
      </c>
    </row>
    <row r="25" spans="1:25">
      <c r="A25" s="50" t="s">
        <v>96</v>
      </c>
      <c r="B25" s="12" t="s">
        <v>31</v>
      </c>
      <c r="C25" s="1" t="s">
        <v>32</v>
      </c>
      <c r="D25" s="2" t="s">
        <v>55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62627.09</v>
      </c>
      <c r="K25" s="3">
        <v>141092.6</v>
      </c>
      <c r="L25" s="40">
        <v>0</v>
      </c>
      <c r="M25" s="3">
        <v>0</v>
      </c>
      <c r="N25" s="7">
        <v>0</v>
      </c>
      <c r="O25" s="21">
        <v>0</v>
      </c>
      <c r="P25" s="4">
        <v>0</v>
      </c>
      <c r="Q25" s="5">
        <v>0</v>
      </c>
      <c r="R25" s="5">
        <v>0</v>
      </c>
      <c r="S25" s="5">
        <v>0</v>
      </c>
      <c r="T25" s="5">
        <v>0</v>
      </c>
      <c r="U25" s="7">
        <v>0</v>
      </c>
      <c r="V25" s="7">
        <v>0</v>
      </c>
      <c r="W25" s="7">
        <v>0</v>
      </c>
      <c r="X25" s="7">
        <v>0</v>
      </c>
      <c r="Y25" s="35">
        <f t="shared" si="2"/>
        <v>203719.69</v>
      </c>
    </row>
    <row r="26" spans="1:25">
      <c r="A26" s="50" t="s">
        <v>97</v>
      </c>
      <c r="B26" s="12" t="s">
        <v>118</v>
      </c>
      <c r="C26" s="1" t="s">
        <v>17</v>
      </c>
      <c r="D26" s="2" t="s">
        <v>55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40">
        <v>0</v>
      </c>
      <c r="M26" s="3">
        <v>0</v>
      </c>
      <c r="N26" s="7">
        <v>0</v>
      </c>
      <c r="O26" s="21">
        <v>0</v>
      </c>
      <c r="P26" s="4">
        <v>0</v>
      </c>
      <c r="Q26" s="5">
        <v>0</v>
      </c>
      <c r="R26" s="5">
        <f>68703.83+80395.46-149099.29</f>
        <v>0</v>
      </c>
      <c r="S26" s="5">
        <v>0</v>
      </c>
      <c r="T26" s="7">
        <f>77493.01+87839.2</f>
        <v>165332.21</v>
      </c>
      <c r="U26" s="7">
        <f>187231.8+16400-203631.8</f>
        <v>0</v>
      </c>
      <c r="V26" s="7">
        <f>32040+42904.8-74944.8</f>
        <v>0</v>
      </c>
      <c r="W26" s="7">
        <v>0</v>
      </c>
      <c r="X26" s="7">
        <f>70451+50216-120667</f>
        <v>0</v>
      </c>
      <c r="Y26" s="35">
        <f t="shared" si="2"/>
        <v>165332.21</v>
      </c>
    </row>
    <row r="27" spans="1:25">
      <c r="A27" s="50" t="s">
        <v>98</v>
      </c>
      <c r="B27" s="12" t="s">
        <v>33</v>
      </c>
      <c r="C27" s="1" t="s">
        <v>19</v>
      </c>
      <c r="D27" s="2" t="s">
        <v>55</v>
      </c>
      <c r="E27" s="3">
        <v>118365.5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40">
        <v>0</v>
      </c>
      <c r="M27" s="3">
        <v>0</v>
      </c>
      <c r="N27" s="7">
        <v>0</v>
      </c>
      <c r="O27" s="21">
        <v>0</v>
      </c>
      <c r="P27" s="4">
        <v>0</v>
      </c>
      <c r="Q27" s="5">
        <v>0</v>
      </c>
      <c r="R27" s="5">
        <v>0</v>
      </c>
      <c r="S27" s="5">
        <v>0</v>
      </c>
      <c r="T27" s="5">
        <v>0</v>
      </c>
      <c r="U27" s="7">
        <v>0</v>
      </c>
      <c r="V27" s="7">
        <v>0</v>
      </c>
      <c r="W27" s="7">
        <v>0</v>
      </c>
      <c r="X27" s="7">
        <v>0</v>
      </c>
      <c r="Y27" s="35">
        <f t="shared" si="2"/>
        <v>118365.5</v>
      </c>
    </row>
    <row r="28" spans="1:25">
      <c r="A28" s="50" t="s">
        <v>99</v>
      </c>
      <c r="B28" s="12" t="s">
        <v>34</v>
      </c>
      <c r="C28" s="1" t="s">
        <v>32</v>
      </c>
      <c r="D28" s="2" t="s">
        <v>55</v>
      </c>
      <c r="E28" s="3">
        <v>0</v>
      </c>
      <c r="F28" s="3">
        <f>48380</f>
        <v>48380</v>
      </c>
      <c r="G28" s="3">
        <f>188328</f>
        <v>188328</v>
      </c>
      <c r="H28" s="3">
        <v>0</v>
      </c>
      <c r="I28" s="3">
        <v>0</v>
      </c>
      <c r="J28" s="3">
        <v>0</v>
      </c>
      <c r="K28" s="3">
        <v>0</v>
      </c>
      <c r="L28" s="40">
        <v>0</v>
      </c>
      <c r="M28" s="3">
        <v>0</v>
      </c>
      <c r="N28" s="7">
        <v>0</v>
      </c>
      <c r="O28" s="21">
        <v>0</v>
      </c>
      <c r="P28" s="4">
        <v>0</v>
      </c>
      <c r="Q28" s="5">
        <v>0</v>
      </c>
      <c r="R28" s="5">
        <v>0</v>
      </c>
      <c r="S28" s="5">
        <v>0</v>
      </c>
      <c r="T28" s="5">
        <v>0</v>
      </c>
      <c r="U28" s="7">
        <v>0</v>
      </c>
      <c r="V28" s="7">
        <v>0</v>
      </c>
      <c r="W28" s="7">
        <v>0</v>
      </c>
      <c r="X28" s="7">
        <v>0</v>
      </c>
      <c r="Y28" s="35">
        <f t="shared" si="2"/>
        <v>236708</v>
      </c>
    </row>
    <row r="29" spans="1:25">
      <c r="A29" s="50" t="s">
        <v>100</v>
      </c>
      <c r="B29" s="12" t="s">
        <v>148</v>
      </c>
      <c r="C29" s="1"/>
      <c r="D29" s="2"/>
      <c r="E29" s="3"/>
      <c r="F29" s="3"/>
      <c r="G29" s="3"/>
      <c r="H29" s="3"/>
      <c r="I29" s="3"/>
      <c r="J29" s="3"/>
      <c r="K29" s="3"/>
      <c r="L29" s="40"/>
      <c r="M29" s="3"/>
      <c r="N29" s="7"/>
      <c r="O29" s="21"/>
      <c r="P29" s="4"/>
      <c r="Q29" s="7"/>
      <c r="R29" s="5">
        <f>2655-2655</f>
        <v>0</v>
      </c>
      <c r="S29" s="5"/>
      <c r="T29" s="5">
        <f>39176</f>
        <v>39176</v>
      </c>
      <c r="U29" s="7"/>
      <c r="V29" s="7"/>
      <c r="W29" s="7"/>
      <c r="X29" s="7"/>
      <c r="Y29" s="35">
        <f t="shared" si="2"/>
        <v>39176</v>
      </c>
    </row>
    <row r="30" spans="1:25">
      <c r="A30" s="50" t="s">
        <v>83</v>
      </c>
      <c r="B30" s="12" t="s">
        <v>35</v>
      </c>
      <c r="C30" s="1" t="s">
        <v>36</v>
      </c>
      <c r="D30" s="2" t="s">
        <v>55</v>
      </c>
      <c r="E30" s="3">
        <v>0</v>
      </c>
      <c r="F30" s="3">
        <v>0</v>
      </c>
      <c r="G30" s="3">
        <v>4602</v>
      </c>
      <c r="H30" s="3">
        <v>0</v>
      </c>
      <c r="I30" s="3">
        <v>0</v>
      </c>
      <c r="J30" s="3">
        <v>0</v>
      </c>
      <c r="K30" s="3">
        <v>0</v>
      </c>
      <c r="L30" s="40">
        <v>0</v>
      </c>
      <c r="M30" s="3">
        <v>0</v>
      </c>
      <c r="N30" s="7">
        <v>0</v>
      </c>
      <c r="O30" s="21">
        <v>0</v>
      </c>
      <c r="P30" s="4">
        <v>0</v>
      </c>
      <c r="Q30" s="5">
        <v>0</v>
      </c>
      <c r="R30" s="5">
        <v>0</v>
      </c>
      <c r="S30" s="5">
        <v>0</v>
      </c>
      <c r="T30" s="5">
        <v>0</v>
      </c>
      <c r="U30" s="7">
        <v>0</v>
      </c>
      <c r="V30" s="7">
        <v>0</v>
      </c>
      <c r="W30" s="7">
        <v>0</v>
      </c>
      <c r="X30" s="7">
        <v>0</v>
      </c>
      <c r="Y30" s="35">
        <f t="shared" si="2"/>
        <v>4602</v>
      </c>
    </row>
    <row r="31" spans="1:25">
      <c r="A31" s="50" t="s">
        <v>101</v>
      </c>
      <c r="B31" s="12" t="s">
        <v>127</v>
      </c>
      <c r="C31" s="1"/>
      <c r="D31" s="2"/>
      <c r="E31" s="3"/>
      <c r="F31" s="3"/>
      <c r="G31" s="3"/>
      <c r="H31" s="3"/>
      <c r="I31" s="3"/>
      <c r="J31" s="3"/>
      <c r="K31" s="3"/>
      <c r="L31" s="40"/>
      <c r="M31" s="3"/>
      <c r="N31" s="7"/>
      <c r="O31" s="21"/>
      <c r="P31" s="4"/>
      <c r="Q31" s="5"/>
      <c r="R31" s="5">
        <f>27652.67</f>
        <v>27652.67</v>
      </c>
      <c r="S31" s="5"/>
      <c r="T31" s="5">
        <f>9671.53+27652.67+14744.95+5890.01</f>
        <v>57959.159999999996</v>
      </c>
      <c r="U31" s="7"/>
      <c r="V31" s="7"/>
      <c r="W31" s="7"/>
      <c r="X31" s="7"/>
      <c r="Y31" s="35">
        <f t="shared" ref="Y31:Y45" si="3">SUM(E31:X31)</f>
        <v>85611.829999999987</v>
      </c>
    </row>
    <row r="32" spans="1:25">
      <c r="A32" s="50" t="s">
        <v>102</v>
      </c>
      <c r="B32" s="12" t="s">
        <v>37</v>
      </c>
      <c r="C32" s="1" t="s">
        <v>13</v>
      </c>
      <c r="D32" s="2" t="s">
        <v>55</v>
      </c>
      <c r="E32" s="3">
        <v>0</v>
      </c>
      <c r="F32" s="3">
        <f>77245.94</f>
        <v>77245.94</v>
      </c>
      <c r="G32" s="3">
        <f>26525</f>
        <v>26525</v>
      </c>
      <c r="H32" s="3">
        <v>0</v>
      </c>
      <c r="I32" s="3">
        <v>0</v>
      </c>
      <c r="J32" s="3">
        <v>0</v>
      </c>
      <c r="K32" s="3">
        <v>0</v>
      </c>
      <c r="L32" s="40">
        <v>0</v>
      </c>
      <c r="M32" s="3">
        <v>0</v>
      </c>
      <c r="N32" s="7">
        <v>0</v>
      </c>
      <c r="O32" s="21">
        <v>0</v>
      </c>
      <c r="P32" s="4">
        <v>0</v>
      </c>
      <c r="Q32" s="5">
        <v>0</v>
      </c>
      <c r="R32" s="5">
        <v>0</v>
      </c>
      <c r="S32" s="5">
        <v>0</v>
      </c>
      <c r="T32" s="5">
        <v>0</v>
      </c>
      <c r="U32" s="7">
        <v>0</v>
      </c>
      <c r="V32" s="7">
        <v>0</v>
      </c>
      <c r="W32" s="7">
        <v>0</v>
      </c>
      <c r="X32" s="7">
        <v>0</v>
      </c>
      <c r="Y32" s="35">
        <f t="shared" si="3"/>
        <v>103770.94</v>
      </c>
    </row>
    <row r="33" spans="1:25">
      <c r="A33" s="50" t="s">
        <v>71</v>
      </c>
      <c r="B33" s="12" t="s">
        <v>38</v>
      </c>
      <c r="C33" s="1" t="s">
        <v>39</v>
      </c>
      <c r="D33" s="2" t="s">
        <v>55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30500</v>
      </c>
      <c r="L33" s="40">
        <v>0</v>
      </c>
      <c r="M33" s="3">
        <v>0</v>
      </c>
      <c r="N33" s="7">
        <v>0</v>
      </c>
      <c r="O33" s="21">
        <v>0</v>
      </c>
      <c r="P33" s="4">
        <v>0</v>
      </c>
      <c r="Q33" s="5">
        <v>0</v>
      </c>
      <c r="R33" s="5">
        <v>0</v>
      </c>
      <c r="S33" s="5">
        <v>0</v>
      </c>
      <c r="T33" s="5">
        <v>0</v>
      </c>
      <c r="U33" s="7">
        <v>0</v>
      </c>
      <c r="V33" s="7">
        <v>0</v>
      </c>
      <c r="W33" s="7">
        <v>0</v>
      </c>
      <c r="X33" s="7">
        <v>0</v>
      </c>
      <c r="Y33" s="35">
        <f t="shared" si="3"/>
        <v>30500</v>
      </c>
    </row>
    <row r="34" spans="1:25">
      <c r="A34" s="50" t="s">
        <v>103</v>
      </c>
      <c r="B34" s="12" t="s">
        <v>40</v>
      </c>
      <c r="C34" s="1" t="s">
        <v>41</v>
      </c>
      <c r="D34" s="2" t="s">
        <v>55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2500</v>
      </c>
      <c r="L34" s="40">
        <v>0</v>
      </c>
      <c r="M34" s="3">
        <v>0</v>
      </c>
      <c r="N34" s="7">
        <v>0</v>
      </c>
      <c r="O34" s="21">
        <v>0</v>
      </c>
      <c r="P34" s="4">
        <v>0</v>
      </c>
      <c r="Q34" s="5">
        <v>0</v>
      </c>
      <c r="R34" s="5">
        <v>0</v>
      </c>
      <c r="S34" s="5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35">
        <f t="shared" si="3"/>
        <v>2500</v>
      </c>
    </row>
    <row r="35" spans="1:25">
      <c r="A35" s="50" t="s">
        <v>72</v>
      </c>
      <c r="B35" s="12" t="s">
        <v>117</v>
      </c>
      <c r="C35" s="1"/>
      <c r="D35" s="2"/>
      <c r="E35" s="3"/>
      <c r="F35" s="3"/>
      <c r="G35" s="3"/>
      <c r="H35" s="3"/>
      <c r="I35" s="3"/>
      <c r="J35" s="3"/>
      <c r="K35" s="3"/>
      <c r="L35" s="40"/>
      <c r="M35" s="3"/>
      <c r="N35" s="7"/>
      <c r="O35" s="21"/>
      <c r="P35" s="4"/>
      <c r="Q35" s="5"/>
      <c r="R35" s="7">
        <f>155550-155550</f>
        <v>0</v>
      </c>
      <c r="S35" s="5"/>
      <c r="T35" s="7">
        <f>175000+125000</f>
        <v>300000</v>
      </c>
      <c r="U35" s="7"/>
      <c r="V35" s="7"/>
      <c r="W35" s="7"/>
      <c r="X35" s="7"/>
      <c r="Y35" s="35">
        <f t="shared" si="3"/>
        <v>300000</v>
      </c>
    </row>
    <row r="36" spans="1:25">
      <c r="A36" s="50" t="s">
        <v>73</v>
      </c>
      <c r="B36" s="12" t="s">
        <v>139</v>
      </c>
      <c r="C36" s="1" t="s">
        <v>149</v>
      </c>
      <c r="D36" s="2" t="s">
        <v>55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40">
        <v>0</v>
      </c>
      <c r="M36" s="3">
        <v>0</v>
      </c>
      <c r="N36" s="7">
        <v>0</v>
      </c>
      <c r="O36" s="21">
        <v>0</v>
      </c>
      <c r="P36" s="4">
        <v>0</v>
      </c>
      <c r="Q36" s="20">
        <v>0</v>
      </c>
      <c r="R36" s="5">
        <v>0</v>
      </c>
      <c r="S36" s="7">
        <v>0</v>
      </c>
      <c r="T36" s="7">
        <f>4725</f>
        <v>4725</v>
      </c>
      <c r="U36" s="7">
        <f>3980-3980</f>
        <v>0</v>
      </c>
      <c r="V36" s="7">
        <f>6395+51715-58110</f>
        <v>0</v>
      </c>
      <c r="W36" s="7">
        <v>0</v>
      </c>
      <c r="X36" s="7">
        <v>0</v>
      </c>
      <c r="Y36" s="35">
        <f t="shared" si="3"/>
        <v>4725</v>
      </c>
    </row>
    <row r="37" spans="1:25">
      <c r="A37" s="50" t="s">
        <v>104</v>
      </c>
      <c r="B37" s="12" t="s">
        <v>42</v>
      </c>
      <c r="C37" s="1" t="s">
        <v>43</v>
      </c>
      <c r="D37" s="2" t="s">
        <v>55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f>1298</f>
        <v>1298</v>
      </c>
      <c r="M37" s="3">
        <v>0</v>
      </c>
      <c r="N37" s="7">
        <v>0</v>
      </c>
      <c r="O37" s="21">
        <v>0</v>
      </c>
      <c r="P37" s="4">
        <v>0</v>
      </c>
      <c r="Q37" s="13">
        <v>0</v>
      </c>
      <c r="R37" s="5">
        <v>0</v>
      </c>
      <c r="S37" s="5">
        <v>0</v>
      </c>
      <c r="T37" s="5">
        <v>0</v>
      </c>
      <c r="U37" s="7">
        <v>0</v>
      </c>
      <c r="V37" s="7">
        <v>0</v>
      </c>
      <c r="W37" s="7">
        <v>0</v>
      </c>
      <c r="X37" s="7">
        <v>0</v>
      </c>
      <c r="Y37" s="35">
        <f t="shared" si="3"/>
        <v>1298</v>
      </c>
    </row>
    <row r="38" spans="1:25">
      <c r="A38" s="50" t="s">
        <v>105</v>
      </c>
      <c r="B38" s="12" t="s">
        <v>140</v>
      </c>
      <c r="C38" s="1"/>
      <c r="D38" s="2"/>
      <c r="E38" s="3"/>
      <c r="F38" s="3"/>
      <c r="G38" s="3"/>
      <c r="H38" s="3"/>
      <c r="I38" s="3"/>
      <c r="J38" s="3"/>
      <c r="K38" s="3"/>
      <c r="L38" s="3"/>
      <c r="M38" s="3"/>
      <c r="N38" s="7"/>
      <c r="O38" s="21"/>
      <c r="P38" s="4"/>
      <c r="Q38" s="13"/>
      <c r="R38" s="5"/>
      <c r="S38" s="5"/>
      <c r="T38" s="5">
        <f>157246.8</f>
        <v>157246.79999999999</v>
      </c>
      <c r="U38" s="7"/>
      <c r="V38" s="7"/>
      <c r="W38" s="7"/>
      <c r="X38" s="7"/>
      <c r="Y38" s="35">
        <f t="shared" si="3"/>
        <v>157246.79999999999</v>
      </c>
    </row>
    <row r="39" spans="1:25">
      <c r="A39" s="50" t="s">
        <v>110</v>
      </c>
      <c r="B39" s="12" t="s">
        <v>44</v>
      </c>
      <c r="C39" s="1" t="s">
        <v>18</v>
      </c>
      <c r="D39" s="2" t="s">
        <v>55</v>
      </c>
      <c r="E39" s="3">
        <v>0</v>
      </c>
      <c r="F39" s="3">
        <v>0</v>
      </c>
      <c r="G39" s="3">
        <f>107165</f>
        <v>107165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7">
        <v>0</v>
      </c>
      <c r="O39" s="21">
        <v>0</v>
      </c>
      <c r="P39" s="4">
        <v>0</v>
      </c>
      <c r="Q39" s="13">
        <v>0</v>
      </c>
      <c r="R39" s="5">
        <v>0</v>
      </c>
      <c r="S39" s="5">
        <v>0</v>
      </c>
      <c r="T39" s="5">
        <v>0</v>
      </c>
      <c r="U39" s="7">
        <v>0</v>
      </c>
      <c r="V39" s="7">
        <v>0</v>
      </c>
      <c r="W39" s="7">
        <v>0</v>
      </c>
      <c r="X39" s="7">
        <v>0</v>
      </c>
      <c r="Y39" s="35">
        <f t="shared" si="3"/>
        <v>107165</v>
      </c>
    </row>
    <row r="40" spans="1:25">
      <c r="A40" s="50" t="s">
        <v>111</v>
      </c>
      <c r="B40" s="12" t="s">
        <v>45</v>
      </c>
      <c r="C40" s="1" t="s">
        <v>46</v>
      </c>
      <c r="D40" s="2" t="s">
        <v>55</v>
      </c>
      <c r="E40" s="3">
        <v>0</v>
      </c>
      <c r="F40" s="3">
        <v>0</v>
      </c>
      <c r="G40" s="3">
        <f>5245.28</f>
        <v>5245.28</v>
      </c>
      <c r="H40" s="3">
        <v>425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7">
        <v>0</v>
      </c>
      <c r="O40" s="21">
        <v>0</v>
      </c>
      <c r="P40" s="4">
        <v>0</v>
      </c>
      <c r="Q40" s="13">
        <v>0</v>
      </c>
      <c r="R40" s="5">
        <v>0</v>
      </c>
      <c r="S40" s="5">
        <v>0</v>
      </c>
      <c r="T40" s="5">
        <v>0</v>
      </c>
      <c r="U40" s="7">
        <v>0</v>
      </c>
      <c r="V40" s="7">
        <v>0</v>
      </c>
      <c r="W40" s="7">
        <v>0</v>
      </c>
      <c r="X40" s="7">
        <v>0</v>
      </c>
      <c r="Y40" s="35">
        <f t="shared" si="3"/>
        <v>5670.28</v>
      </c>
    </row>
    <row r="41" spans="1:25">
      <c r="A41" s="50" t="s">
        <v>112</v>
      </c>
      <c r="B41" s="12" t="s">
        <v>47</v>
      </c>
      <c r="C41" s="1" t="s">
        <v>17</v>
      </c>
      <c r="D41" s="2" t="s">
        <v>55</v>
      </c>
      <c r="E41" s="3">
        <v>0</v>
      </c>
      <c r="F41" s="3">
        <v>0</v>
      </c>
      <c r="G41" s="3">
        <v>0</v>
      </c>
      <c r="H41" s="3">
        <v>0</v>
      </c>
      <c r="I41" s="3">
        <f>51490</f>
        <v>51490</v>
      </c>
      <c r="J41" s="3">
        <v>0</v>
      </c>
      <c r="K41" s="3">
        <v>0</v>
      </c>
      <c r="L41" s="3">
        <v>0</v>
      </c>
      <c r="M41" s="3">
        <v>0</v>
      </c>
      <c r="N41" s="7">
        <v>0</v>
      </c>
      <c r="O41" s="21">
        <v>0</v>
      </c>
      <c r="P41" s="4">
        <v>0</v>
      </c>
      <c r="Q41" s="13">
        <v>0</v>
      </c>
      <c r="R41" s="5">
        <v>0</v>
      </c>
      <c r="S41" s="5">
        <v>0</v>
      </c>
      <c r="T41" s="5">
        <v>0</v>
      </c>
      <c r="U41" s="7">
        <v>0</v>
      </c>
      <c r="V41" s="7">
        <v>0</v>
      </c>
      <c r="W41" s="7">
        <v>0</v>
      </c>
      <c r="X41" s="7">
        <v>0</v>
      </c>
      <c r="Y41" s="35">
        <f t="shared" si="3"/>
        <v>51490</v>
      </c>
    </row>
    <row r="42" spans="1:25">
      <c r="A42" s="50" t="s">
        <v>150</v>
      </c>
      <c r="B42" s="12" t="s">
        <v>151</v>
      </c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7"/>
      <c r="O42" s="21"/>
      <c r="P42" s="4"/>
      <c r="Q42" s="13"/>
      <c r="R42" s="5"/>
      <c r="S42" s="5"/>
      <c r="T42" s="5">
        <f>283200</f>
        <v>283200</v>
      </c>
      <c r="U42" s="7"/>
      <c r="V42" s="7"/>
      <c r="W42" s="7"/>
      <c r="X42" s="7"/>
      <c r="Y42" s="35">
        <f t="shared" si="3"/>
        <v>283200</v>
      </c>
    </row>
    <row r="43" spans="1:25">
      <c r="A43" s="50" t="s">
        <v>152</v>
      </c>
      <c r="B43" s="12" t="s">
        <v>141</v>
      </c>
      <c r="C43" s="1"/>
      <c r="D43" s="2"/>
      <c r="E43" s="3"/>
      <c r="F43" s="3"/>
      <c r="G43" s="3"/>
      <c r="H43" s="3"/>
      <c r="I43" s="3"/>
      <c r="J43" s="3"/>
      <c r="K43" s="3"/>
      <c r="L43" s="3"/>
      <c r="M43" s="3"/>
      <c r="N43" s="7"/>
      <c r="O43" s="21"/>
      <c r="P43" s="4"/>
      <c r="Q43" s="13"/>
      <c r="R43" s="5"/>
      <c r="S43" s="5"/>
      <c r="T43" s="5">
        <f>2273.11</f>
        <v>2273.11</v>
      </c>
      <c r="U43" s="7"/>
      <c r="V43" s="7"/>
      <c r="W43" s="7"/>
      <c r="X43" s="7"/>
      <c r="Y43" s="35">
        <f t="shared" si="3"/>
        <v>2273.11</v>
      </c>
    </row>
    <row r="44" spans="1:25">
      <c r="A44" s="50" t="s">
        <v>153</v>
      </c>
      <c r="B44" s="12" t="s">
        <v>48</v>
      </c>
      <c r="C44" s="1" t="s">
        <v>17</v>
      </c>
      <c r="D44" s="2" t="s">
        <v>55</v>
      </c>
      <c r="E44" s="3">
        <v>0</v>
      </c>
      <c r="F44" s="3">
        <v>0</v>
      </c>
      <c r="G44" s="3">
        <f>167230.35</f>
        <v>167230.35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7">
        <v>0</v>
      </c>
      <c r="O44" s="21">
        <v>0</v>
      </c>
      <c r="P44" s="4">
        <v>0</v>
      </c>
      <c r="Q44" s="13">
        <v>0</v>
      </c>
      <c r="R44" s="7">
        <v>0</v>
      </c>
      <c r="S44" s="5">
        <v>0</v>
      </c>
      <c r="T44" s="5">
        <v>0</v>
      </c>
      <c r="U44" s="7">
        <v>0</v>
      </c>
      <c r="V44" s="7">
        <v>0</v>
      </c>
      <c r="W44" s="7">
        <v>0</v>
      </c>
      <c r="X44" s="7">
        <v>0</v>
      </c>
      <c r="Y44" s="35">
        <f t="shared" si="3"/>
        <v>167230.35</v>
      </c>
    </row>
    <row r="45" spans="1:25">
      <c r="A45" s="50" t="s">
        <v>154</v>
      </c>
      <c r="B45" s="12" t="s">
        <v>155</v>
      </c>
      <c r="C45" s="1"/>
      <c r="D45" s="2"/>
      <c r="E45" s="3"/>
      <c r="F45" s="3"/>
      <c r="G45" s="3"/>
      <c r="H45" s="3"/>
      <c r="I45" s="3"/>
      <c r="J45" s="3"/>
      <c r="K45" s="3"/>
      <c r="L45" s="3"/>
      <c r="M45" s="3"/>
      <c r="N45" s="7"/>
      <c r="O45" s="21"/>
      <c r="P45" s="4"/>
      <c r="Q45" s="13"/>
      <c r="R45" s="7"/>
      <c r="S45" s="5"/>
      <c r="T45" s="5">
        <f>40120</f>
        <v>40120</v>
      </c>
      <c r="U45" s="7"/>
      <c r="V45" s="7"/>
      <c r="W45" s="7"/>
      <c r="X45" s="7"/>
      <c r="Y45" s="35">
        <f t="shared" si="3"/>
        <v>40120</v>
      </c>
    </row>
    <row r="46" spans="1:25">
      <c r="A46" s="50" t="s">
        <v>156</v>
      </c>
      <c r="B46" s="12" t="s">
        <v>133</v>
      </c>
      <c r="C46" s="1" t="s">
        <v>134</v>
      </c>
      <c r="D46" s="2" t="s">
        <v>55</v>
      </c>
      <c r="E46" s="26">
        <v>0</v>
      </c>
      <c r="F46" s="26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7">
        <v>0</v>
      </c>
      <c r="O46" s="21">
        <v>0</v>
      </c>
      <c r="P46" s="4">
        <v>0</v>
      </c>
      <c r="Q46" s="20">
        <v>0</v>
      </c>
      <c r="R46" s="7">
        <f>24878-24878</f>
        <v>0</v>
      </c>
      <c r="S46" s="7">
        <v>0</v>
      </c>
      <c r="T46" s="7">
        <f>11253.2</f>
        <v>11253.2</v>
      </c>
      <c r="U46" s="7">
        <v>0</v>
      </c>
      <c r="V46" s="7">
        <v>0</v>
      </c>
      <c r="W46" s="7">
        <v>0</v>
      </c>
      <c r="X46" s="7">
        <v>0</v>
      </c>
      <c r="Y46" s="35">
        <f t="shared" ref="Y46:Y47" si="4">SUM(E46:X46)</f>
        <v>11253.2</v>
      </c>
    </row>
    <row r="47" spans="1:25">
      <c r="A47" s="50" t="s">
        <v>157</v>
      </c>
      <c r="B47" s="12" t="s">
        <v>74</v>
      </c>
      <c r="C47" s="1" t="s">
        <v>24</v>
      </c>
      <c r="D47" s="2" t="s">
        <v>55</v>
      </c>
      <c r="E47" s="26">
        <v>0</v>
      </c>
      <c r="F47" s="26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7">
        <v>0</v>
      </c>
      <c r="O47" s="21">
        <v>0</v>
      </c>
      <c r="P47" s="4">
        <v>0</v>
      </c>
      <c r="Q47" s="20">
        <f>66900-66900</f>
        <v>0</v>
      </c>
      <c r="R47" s="7">
        <f>94673.2-94673.2</f>
        <v>0</v>
      </c>
      <c r="S47" s="7">
        <v>0</v>
      </c>
      <c r="T47" s="7">
        <f>112977</f>
        <v>112977</v>
      </c>
      <c r="U47" s="7">
        <f>86665-86665</f>
        <v>0</v>
      </c>
      <c r="V47" s="7">
        <v>0</v>
      </c>
      <c r="W47" s="7">
        <v>0</v>
      </c>
      <c r="X47" s="49">
        <v>0</v>
      </c>
      <c r="Y47" s="35">
        <f t="shared" si="4"/>
        <v>112977</v>
      </c>
    </row>
    <row r="48" spans="1:25">
      <c r="A48" s="50" t="s">
        <v>158</v>
      </c>
      <c r="B48" s="12" t="s">
        <v>49</v>
      </c>
      <c r="C48" s="1" t="s">
        <v>50</v>
      </c>
      <c r="D48" s="2" t="s">
        <v>55</v>
      </c>
      <c r="E48" s="3">
        <v>0</v>
      </c>
      <c r="F48" s="3">
        <f>11590</f>
        <v>11590</v>
      </c>
      <c r="G48" s="3">
        <f>1865</f>
        <v>1865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7">
        <v>0</v>
      </c>
      <c r="O48" s="21">
        <v>0</v>
      </c>
      <c r="P48" s="4">
        <v>0</v>
      </c>
      <c r="Q48" s="13">
        <v>0</v>
      </c>
      <c r="R48" s="5">
        <v>0</v>
      </c>
      <c r="S48" s="5">
        <v>0</v>
      </c>
      <c r="T48" s="7">
        <v>0</v>
      </c>
      <c r="U48" s="7">
        <v>0</v>
      </c>
      <c r="V48" s="7">
        <v>0</v>
      </c>
      <c r="W48" s="7">
        <v>0</v>
      </c>
      <c r="X48" s="7">
        <v>0</v>
      </c>
      <c r="Y48" s="35">
        <f t="shared" ref="Y48:Y51" si="5">SUM(E48:X48)</f>
        <v>13455</v>
      </c>
    </row>
    <row r="49" spans="1:27">
      <c r="A49" s="50" t="s">
        <v>159</v>
      </c>
      <c r="B49" s="12" t="s">
        <v>51</v>
      </c>
      <c r="C49" s="1" t="s">
        <v>52</v>
      </c>
      <c r="D49" s="2" t="s">
        <v>55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1800</v>
      </c>
      <c r="K49" s="3">
        <v>0</v>
      </c>
      <c r="L49" s="3">
        <v>0</v>
      </c>
      <c r="M49" s="3">
        <v>0</v>
      </c>
      <c r="N49" s="7">
        <v>0</v>
      </c>
      <c r="O49" s="21">
        <v>0</v>
      </c>
      <c r="P49" s="4">
        <v>0</v>
      </c>
      <c r="Q49" s="13">
        <v>0</v>
      </c>
      <c r="R49" s="7">
        <v>0</v>
      </c>
      <c r="S49" s="5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35">
        <f t="shared" si="5"/>
        <v>1800</v>
      </c>
    </row>
    <row r="50" spans="1:27">
      <c r="A50" s="50" t="s">
        <v>160</v>
      </c>
      <c r="B50" s="12" t="s">
        <v>143</v>
      </c>
      <c r="C50" s="1"/>
      <c r="D50" s="2"/>
      <c r="E50" s="3"/>
      <c r="F50" s="3"/>
      <c r="G50" s="3"/>
      <c r="H50" s="3"/>
      <c r="I50" s="3"/>
      <c r="J50" s="3"/>
      <c r="K50" s="3"/>
      <c r="L50" s="3"/>
      <c r="M50" s="3"/>
      <c r="N50" s="7"/>
      <c r="O50" s="21"/>
      <c r="P50" s="4"/>
      <c r="Q50" s="20"/>
      <c r="R50" s="7"/>
      <c r="S50" s="5"/>
      <c r="T50" s="7">
        <f>59150+77400</f>
        <v>136550</v>
      </c>
      <c r="U50" s="7"/>
      <c r="V50" s="7"/>
      <c r="W50" s="7"/>
      <c r="X50" s="7"/>
      <c r="Y50" s="36">
        <f t="shared" si="5"/>
        <v>136550</v>
      </c>
    </row>
    <row r="51" spans="1:27" ht="15.75" thickBot="1">
      <c r="A51" s="50" t="s">
        <v>161</v>
      </c>
      <c r="B51" s="12" t="s">
        <v>53</v>
      </c>
      <c r="C51" s="1" t="s">
        <v>54</v>
      </c>
      <c r="D51" s="2" t="s">
        <v>55</v>
      </c>
      <c r="E51" s="8">
        <f>8788.44</f>
        <v>8788.44</v>
      </c>
      <c r="F51" s="8">
        <v>0</v>
      </c>
      <c r="G51" s="8">
        <f>41300</f>
        <v>41300</v>
      </c>
      <c r="H51" s="3">
        <v>0</v>
      </c>
      <c r="I51" s="3">
        <v>0</v>
      </c>
      <c r="J51" s="8">
        <v>0</v>
      </c>
      <c r="K51" s="3">
        <v>0</v>
      </c>
      <c r="L51" s="3">
        <v>0</v>
      </c>
      <c r="M51" s="3">
        <v>0</v>
      </c>
      <c r="N51" s="7">
        <v>0</v>
      </c>
      <c r="O51" s="21">
        <v>0</v>
      </c>
      <c r="P51" s="4">
        <v>0</v>
      </c>
      <c r="Q51" s="13">
        <v>0</v>
      </c>
      <c r="R51" s="7">
        <v>0</v>
      </c>
      <c r="S51" s="5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36">
        <f t="shared" si="5"/>
        <v>50088.44</v>
      </c>
    </row>
    <row r="52" spans="1:27" ht="15.75" thickBot="1">
      <c r="A52" s="58" t="s">
        <v>56</v>
      </c>
      <c r="B52" s="59"/>
      <c r="C52" s="59"/>
      <c r="D52" s="60"/>
      <c r="E52" s="44">
        <f t="shared" ref="E52:Y52" si="6">SUM(E8:E51)</f>
        <v>135153.94</v>
      </c>
      <c r="F52" s="44">
        <f t="shared" si="6"/>
        <v>141935.94</v>
      </c>
      <c r="G52" s="44">
        <f t="shared" si="6"/>
        <v>574828.63</v>
      </c>
      <c r="H52" s="44">
        <f t="shared" si="6"/>
        <v>6797</v>
      </c>
      <c r="I52" s="44">
        <f t="shared" si="6"/>
        <v>59444</v>
      </c>
      <c r="J52" s="44">
        <f t="shared" si="6"/>
        <v>65707.09</v>
      </c>
      <c r="K52" s="44">
        <f t="shared" si="6"/>
        <v>240879.85</v>
      </c>
      <c r="L52" s="44">
        <f t="shared" si="6"/>
        <v>1298</v>
      </c>
      <c r="M52" s="44">
        <f t="shared" si="6"/>
        <v>47790</v>
      </c>
      <c r="N52" s="44">
        <f t="shared" si="6"/>
        <v>460355.76</v>
      </c>
      <c r="O52" s="44">
        <f t="shared" si="6"/>
        <v>0</v>
      </c>
      <c r="P52" s="44">
        <f t="shared" si="6"/>
        <v>0</v>
      </c>
      <c r="Q52" s="44">
        <f t="shared" si="6"/>
        <v>0</v>
      </c>
      <c r="R52" s="44">
        <f t="shared" si="6"/>
        <v>35627.67</v>
      </c>
      <c r="S52" s="44">
        <f t="shared" si="6"/>
        <v>0</v>
      </c>
      <c r="T52" s="44">
        <f t="shared" si="6"/>
        <v>2232244.4300000002</v>
      </c>
      <c r="U52" s="44">
        <f t="shared" si="6"/>
        <v>0</v>
      </c>
      <c r="V52" s="44">
        <f t="shared" si="6"/>
        <v>0</v>
      </c>
      <c r="W52" s="44">
        <f t="shared" si="6"/>
        <v>135582</v>
      </c>
      <c r="X52" s="44">
        <f t="shared" si="6"/>
        <v>0</v>
      </c>
      <c r="Y52" s="45">
        <f t="shared" si="6"/>
        <v>4002062.31</v>
      </c>
      <c r="AA52" s="14"/>
    </row>
    <row r="53" spans="1:27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</row>
    <row r="54" spans="1:27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</row>
    <row r="55" spans="1:27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</row>
    <row r="56" spans="1:27">
      <c r="A56" s="15"/>
      <c r="B56" s="15"/>
      <c r="C56" s="15"/>
      <c r="D56" s="15"/>
      <c r="R56" s="57"/>
      <c r="S56" s="57"/>
      <c r="T56" s="33"/>
      <c r="U56" s="33"/>
      <c r="V56" s="33"/>
      <c r="W56" s="33"/>
      <c r="X56" s="33"/>
      <c r="Y56" s="32"/>
      <c r="Z56" s="33"/>
    </row>
    <row r="57" spans="1:27">
      <c r="A57" s="15"/>
      <c r="B57" s="31" t="s">
        <v>62</v>
      </c>
      <c r="C57" s="61"/>
      <c r="D57" s="61"/>
      <c r="E57" s="23"/>
      <c r="F57" s="57" t="s">
        <v>84</v>
      </c>
      <c r="G57" s="57"/>
      <c r="H57" s="23"/>
      <c r="I57" s="57" t="s">
        <v>138</v>
      </c>
      <c r="J57" s="57"/>
      <c r="K57" s="23"/>
      <c r="N57" s="57"/>
      <c r="O57" s="57"/>
      <c r="R57" s="56"/>
      <c r="S57" s="56"/>
      <c r="T57" s="22"/>
      <c r="U57" s="22" t="s">
        <v>63</v>
      </c>
      <c r="V57" s="22"/>
      <c r="W57" s="22"/>
      <c r="X57" s="22"/>
      <c r="Y57" s="22"/>
      <c r="Z57" s="22"/>
    </row>
    <row r="58" spans="1:27">
      <c r="A58" s="18"/>
      <c r="B58" s="47" t="s">
        <v>64</v>
      </c>
      <c r="C58" s="55"/>
      <c r="D58" s="55"/>
      <c r="E58" s="17"/>
      <c r="F58" s="56" t="s">
        <v>61</v>
      </c>
      <c r="G58" s="56"/>
      <c r="H58" s="17"/>
      <c r="I58" s="56" t="s">
        <v>136</v>
      </c>
      <c r="J58" s="56"/>
      <c r="K58" s="17"/>
      <c r="L58" s="17"/>
      <c r="M58" s="17"/>
      <c r="N58" s="56"/>
      <c r="O58" s="56"/>
      <c r="P58" s="25"/>
      <c r="Q58" s="25"/>
      <c r="R58" s="56"/>
      <c r="S58" s="56"/>
      <c r="T58" s="22"/>
      <c r="U58" s="22" t="s">
        <v>59</v>
      </c>
      <c r="V58" s="22"/>
      <c r="W58" s="28"/>
      <c r="X58" s="22"/>
      <c r="Y58" s="22"/>
      <c r="Z58" s="28"/>
    </row>
    <row r="59" spans="1:27">
      <c r="A59" s="18"/>
      <c r="B59" s="29" t="s">
        <v>57</v>
      </c>
      <c r="C59" s="55"/>
      <c r="D59" s="55"/>
      <c r="E59" s="17"/>
      <c r="F59" s="56" t="s">
        <v>11</v>
      </c>
      <c r="G59" s="56"/>
      <c r="H59" s="17"/>
      <c r="I59" s="56" t="s">
        <v>60</v>
      </c>
      <c r="J59" s="56"/>
      <c r="K59" s="17"/>
      <c r="L59" s="17"/>
      <c r="M59" s="17"/>
      <c r="N59" s="56"/>
      <c r="O59" s="56"/>
      <c r="P59" s="19"/>
      <c r="Q59" s="19"/>
      <c r="R59" s="27"/>
      <c r="S59" s="27" t="s">
        <v>60</v>
      </c>
      <c r="T59" s="22"/>
      <c r="U59" s="27" t="s">
        <v>60</v>
      </c>
      <c r="V59" s="22"/>
      <c r="W59" s="27"/>
      <c r="X59" s="27"/>
      <c r="Y59" s="22"/>
      <c r="Z59" s="27"/>
    </row>
    <row r="60" spans="1:27">
      <c r="A60" s="15"/>
      <c r="B60" s="15"/>
      <c r="C60" s="15"/>
      <c r="D60" s="15"/>
      <c r="R60" s="22"/>
      <c r="S60" s="22"/>
      <c r="T60" s="22"/>
      <c r="U60" s="22"/>
      <c r="V60" s="22"/>
      <c r="W60" s="22"/>
      <c r="X60" s="22"/>
      <c r="Y60" s="22"/>
    </row>
    <row r="61" spans="1:27">
      <c r="A61" s="15"/>
      <c r="B61" s="15"/>
      <c r="C61" s="15"/>
      <c r="D61" s="15"/>
    </row>
    <row r="64" spans="1:27">
      <c r="R64" t="s">
        <v>8</v>
      </c>
    </row>
    <row r="107" spans="14:14" ht="15.75">
      <c r="N107" s="30" t="s">
        <v>85</v>
      </c>
    </row>
    <row r="309" spans="15:15">
      <c r="O309">
        <f>O301+O302+O303+O304+O305+O306+O307+O308</f>
        <v>0</v>
      </c>
    </row>
    <row r="538" spans="15:15">
      <c r="O538">
        <f>SUM(O522:O537)</f>
        <v>0</v>
      </c>
    </row>
    <row r="890" spans="15:15">
      <c r="O890">
        <f>SUM(O874:O889)</f>
        <v>0</v>
      </c>
    </row>
  </sheetData>
  <mergeCells count="20">
    <mergeCell ref="A5:G5"/>
    <mergeCell ref="A1:Y1"/>
    <mergeCell ref="A2:Y2"/>
    <mergeCell ref="A3:Y3"/>
    <mergeCell ref="R58:S58"/>
    <mergeCell ref="A52:D52"/>
    <mergeCell ref="R56:S56"/>
    <mergeCell ref="C57:D57"/>
    <mergeCell ref="F57:G57"/>
    <mergeCell ref="I57:J57"/>
    <mergeCell ref="N57:O57"/>
    <mergeCell ref="R57:S57"/>
    <mergeCell ref="C59:D59"/>
    <mergeCell ref="F59:G59"/>
    <mergeCell ref="I59:J59"/>
    <mergeCell ref="N59:O59"/>
    <mergeCell ref="C58:D58"/>
    <mergeCell ref="F58:G58"/>
    <mergeCell ref="I58:J58"/>
    <mergeCell ref="N58:O58"/>
  </mergeCells>
  <phoneticPr fontId="16" type="noConversion"/>
  <pageMargins left="0.31496062992125984" right="0.11811023622047245" top="0.39370078740157483" bottom="0.15748031496062992" header="0.31496062992125984" footer="0.31496062992125984"/>
  <pageSetup paperSize="9" scale="75" orientation="landscape" horizontalDpi="4294967293" r:id="rId1"/>
  <rowBreaks count="2" manualBreakCount="2">
    <brk id="47" max="24" man="1"/>
    <brk id="78" max="2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CUENTAS X PAGAR</vt:lpstr>
      <vt:lpstr>'CUENTAS X PAGAR'!Área_de_impresión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Ynes Danilda Abreu Ureña</dc:creator>
  <cp:lastModifiedBy>ADMIN HRILLB</cp:lastModifiedBy>
  <cp:lastPrinted>2025-09-02T12:29:09Z</cp:lastPrinted>
  <dcterms:created xsi:type="dcterms:W3CDTF">2021-03-11T12:14:44Z</dcterms:created>
  <dcterms:modified xsi:type="dcterms:W3CDTF">2025-09-12T15:54:17Z</dcterms:modified>
</cp:coreProperties>
</file>