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 HRILLB\Downloads\"/>
    </mc:Choice>
  </mc:AlternateContent>
  <bookViews>
    <workbookView xWindow="0" yWindow="0" windowWidth="28800" windowHeight="12435"/>
  </bookViews>
  <sheets>
    <sheet name="Agosto" sheetId="77" r:id="rId1"/>
  </sheets>
  <definedNames>
    <definedName name="_xlnm.Print_Area" localSheetId="0">Agosto!$A$1:$AD$172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D78" i="77" l="1"/>
  <c r="AD79" i="77"/>
  <c r="AD53" i="77"/>
  <c r="AD54" i="77"/>
  <c r="U64" i="77"/>
  <c r="T145" i="77"/>
  <c r="T114" i="77"/>
  <c r="T41" i="77"/>
  <c r="T9" i="77"/>
  <c r="T12" i="77"/>
  <c r="T8" i="77"/>
  <c r="U84" i="77"/>
  <c r="T84" i="77"/>
  <c r="T148" i="77"/>
  <c r="T117" i="77"/>
  <c r="T92" i="77"/>
  <c r="T64" i="77"/>
  <c r="U48" i="77"/>
  <c r="AD49" i="77"/>
  <c r="AD50" i="77"/>
  <c r="AD55" i="77"/>
  <c r="U95" i="77"/>
  <c r="U162" i="77"/>
  <c r="AD162" i="77" s="1"/>
  <c r="U150" i="77"/>
  <c r="U147" i="77"/>
  <c r="U134" i="77"/>
  <c r="U117" i="77"/>
  <c r="U108" i="77"/>
  <c r="U106" i="77"/>
  <c r="U99" i="77"/>
  <c r="U32" i="77"/>
  <c r="U28" i="77"/>
  <c r="U15" i="77"/>
  <c r="AD132" i="77"/>
  <c r="AD133" i="77"/>
  <c r="T160" i="77"/>
  <c r="T139" i="77"/>
  <c r="T118" i="77"/>
  <c r="T44" i="77"/>
  <c r="T29" i="77"/>
  <c r="T22" i="77"/>
  <c r="AD89" i="77"/>
  <c r="T137" i="77"/>
  <c r="T31" i="77"/>
  <c r="T131" i="77"/>
  <c r="AD131" i="77" s="1"/>
  <c r="T108" i="77"/>
  <c r="T95" i="77"/>
  <c r="T45" i="77"/>
  <c r="T32" i="77"/>
  <c r="T15" i="77"/>
  <c r="U109" i="77"/>
  <c r="T109" i="77"/>
  <c r="T154" i="77"/>
  <c r="T144" i="77"/>
  <c r="T147" i="77"/>
  <c r="T63" i="77"/>
  <c r="U138" i="77"/>
  <c r="U72" i="77"/>
  <c r="T150" i="77"/>
  <c r="T99" i="77"/>
  <c r="T86" i="77"/>
  <c r="T28" i="77"/>
  <c r="T138" i="77"/>
  <c r="T134" i="77"/>
  <c r="T119" i="77"/>
  <c r="T77" i="77"/>
  <c r="T72" i="77"/>
  <c r="T58" i="77"/>
  <c r="T48" i="77"/>
  <c r="T11" i="77"/>
  <c r="T157" i="77"/>
  <c r="T163" i="77"/>
  <c r="T98" i="77"/>
  <c r="T34" i="77"/>
  <c r="T35" i="77"/>
  <c r="T19" i="77"/>
  <c r="R145" i="77"/>
  <c r="R148" i="77"/>
  <c r="R114" i="77"/>
  <c r="R109" i="77"/>
  <c r="R92" i="77"/>
  <c r="R64" i="77"/>
  <c r="R35" i="77"/>
  <c r="R12" i="77"/>
  <c r="S114" i="77"/>
  <c r="S150" i="77"/>
  <c r="S56" i="77"/>
  <c r="S35" i="77"/>
  <c r="S18" i="77"/>
  <c r="S11" i="77"/>
  <c r="S9" i="77"/>
  <c r="S154" i="77"/>
  <c r="S148" i="77"/>
  <c r="S147" i="77"/>
  <c r="S108" i="77"/>
  <c r="S30" i="77"/>
  <c r="AD30" i="77" s="1"/>
  <c r="S29" i="77"/>
  <c r="S27" i="77"/>
  <c r="AD27" i="77" s="1"/>
  <c r="S12" i="77"/>
  <c r="S15" i="77"/>
  <c r="R110" i="77"/>
  <c r="R95" i="77"/>
  <c r="AD65" i="77"/>
  <c r="R44" i="77"/>
  <c r="R11" i="77"/>
  <c r="AD20" i="77"/>
  <c r="R59" i="77"/>
  <c r="R33" i="77"/>
  <c r="R18" i="77"/>
  <c r="R8" i="77"/>
  <c r="AD52" i="77"/>
  <c r="R158" i="77"/>
  <c r="R108" i="77"/>
  <c r="R45" i="77"/>
  <c r="R56" i="77"/>
  <c r="R22" i="77"/>
  <c r="R96" i="77"/>
  <c r="R144" i="77"/>
  <c r="R163" i="77"/>
  <c r="R157" i="77"/>
  <c r="R150" i="77"/>
  <c r="R147" i="77"/>
  <c r="R138" i="77"/>
  <c r="R134" i="77"/>
  <c r="R119" i="77"/>
  <c r="R99" i="77"/>
  <c r="R86" i="77"/>
  <c r="R74" i="77"/>
  <c r="R77" i="77"/>
  <c r="AD75" i="77"/>
  <c r="R73" i="77"/>
  <c r="AD73" i="77" s="1"/>
  <c r="R72" i="77"/>
  <c r="R68" i="77"/>
  <c r="R63" i="77"/>
  <c r="R58" i="77"/>
  <c r="R34" i="77"/>
  <c r="R32" i="77"/>
  <c r="R28" i="77"/>
  <c r="R15" i="77"/>
  <c r="R154" i="77"/>
  <c r="R19" i="77"/>
  <c r="AD143" i="77"/>
  <c r="Q11" i="77"/>
  <c r="P11" i="77"/>
  <c r="P9" i="77"/>
  <c r="P145" i="77"/>
  <c r="P15" i="77"/>
  <c r="Q63" i="77"/>
  <c r="Q163" i="77"/>
  <c r="Q157" i="77"/>
  <c r="Q150" i="77"/>
  <c r="Q147" i="77"/>
  <c r="Q144" i="77"/>
  <c r="Q138" i="77"/>
  <c r="Q134" i="77"/>
  <c r="Q117" i="77"/>
  <c r="Q114" i="77"/>
  <c r="Q108" i="77"/>
  <c r="Q98" i="77"/>
  <c r="Q99" i="77"/>
  <c r="Q74" i="77"/>
  <c r="Q72" i="77"/>
  <c r="Q33" i="77"/>
  <c r="Q28" i="77"/>
  <c r="Q23" i="77"/>
  <c r="Q15" i="77"/>
  <c r="Q22" i="77"/>
  <c r="AD70" i="77"/>
  <c r="AD71" i="77"/>
  <c r="P148" i="77"/>
  <c r="P147" i="77"/>
  <c r="P129" i="77"/>
  <c r="P114" i="77"/>
  <c r="Q84" i="77"/>
  <c r="P84" i="77"/>
  <c r="AD69" i="77"/>
  <c r="P12" i="77"/>
  <c r="AD146" i="77"/>
  <c r="P125" i="77"/>
  <c r="P115" i="77"/>
  <c r="P57" i="77"/>
  <c r="P29" i="77"/>
  <c r="AD86" i="77" l="1"/>
  <c r="P160" i="77"/>
  <c r="AD149" i="77"/>
  <c r="P108" i="77"/>
  <c r="AD67" i="77"/>
  <c r="P68" i="77"/>
  <c r="P56" i="77"/>
  <c r="P154" i="77"/>
  <c r="P92" i="77"/>
  <c r="P45" i="77"/>
  <c r="P163" i="77"/>
  <c r="P144" i="77"/>
  <c r="P74" i="77"/>
  <c r="P72" i="77"/>
  <c r="P48" i="77"/>
  <c r="P32" i="77"/>
  <c r="AD18" i="77"/>
  <c r="AD151" i="77"/>
  <c r="P150" i="77"/>
  <c r="AD150" i="77" s="1"/>
  <c r="P117" i="77"/>
  <c r="P35" i="77"/>
  <c r="P33" i="77"/>
  <c r="P8" i="77"/>
  <c r="AC164" i="77"/>
  <c r="AB164" i="77"/>
  <c r="AA164" i="77"/>
  <c r="Z164" i="77"/>
  <c r="Y164" i="77"/>
  <c r="X164" i="77"/>
  <c r="W164" i="77"/>
  <c r="V164" i="77"/>
  <c r="U164" i="77"/>
  <c r="T164" i="77"/>
  <c r="AF166" i="77" s="1"/>
  <c r="S164" i="77"/>
  <c r="R164" i="77"/>
  <c r="Q164" i="77"/>
  <c r="N163" i="77"/>
  <c r="H163" i="77"/>
  <c r="AD161" i="77"/>
  <c r="M160" i="77"/>
  <c r="L160" i="77"/>
  <c r="J160" i="77"/>
  <c r="AD159" i="77"/>
  <c r="L158" i="77"/>
  <c r="F158" i="77"/>
  <c r="N157" i="77"/>
  <c r="L157" i="77"/>
  <c r="J157" i="77"/>
  <c r="H157" i="77"/>
  <c r="AD156" i="77"/>
  <c r="AD155" i="77"/>
  <c r="L154" i="77"/>
  <c r="J154" i="77"/>
  <c r="AD153" i="77"/>
  <c r="AD152" i="77"/>
  <c r="N148" i="77"/>
  <c r="M148" i="77"/>
  <c r="L148" i="77"/>
  <c r="J148" i="77"/>
  <c r="H148" i="77"/>
  <c r="N147" i="77"/>
  <c r="M147" i="77"/>
  <c r="L147" i="77"/>
  <c r="J147" i="77"/>
  <c r="H147" i="77"/>
  <c r="F147" i="77"/>
  <c r="L145" i="77"/>
  <c r="F145" i="77"/>
  <c r="E145" i="77"/>
  <c r="O144" i="77"/>
  <c r="N144" i="77"/>
  <c r="M144" i="77"/>
  <c r="L144" i="77"/>
  <c r="J144" i="77"/>
  <c r="H144" i="77"/>
  <c r="F144" i="77"/>
  <c r="AD142" i="77"/>
  <c r="J141" i="77"/>
  <c r="H141" i="77"/>
  <c r="AD140" i="77"/>
  <c r="N139" i="77"/>
  <c r="M139" i="77"/>
  <c r="K139" i="77"/>
  <c r="H139" i="77"/>
  <c r="P138" i="77"/>
  <c r="N138" i="77"/>
  <c r="M138" i="77"/>
  <c r="L138" i="77"/>
  <c r="J138" i="77"/>
  <c r="F138" i="77"/>
  <c r="O137" i="77"/>
  <c r="N137" i="77"/>
  <c r="L137" i="77"/>
  <c r="AD136" i="77"/>
  <c r="F135" i="77"/>
  <c r="AD135" i="77" s="1"/>
  <c r="O134" i="77"/>
  <c r="N134" i="77"/>
  <c r="M134" i="77"/>
  <c r="L134" i="77"/>
  <c r="H134" i="77"/>
  <c r="F134" i="77"/>
  <c r="M130" i="77"/>
  <c r="L130" i="77"/>
  <c r="N129" i="77"/>
  <c r="K129" i="77"/>
  <c r="H129" i="77"/>
  <c r="F129" i="77"/>
  <c r="AD128" i="77"/>
  <c r="AD127" i="77"/>
  <c r="AD126" i="77"/>
  <c r="AD125" i="77"/>
  <c r="AD124" i="77"/>
  <c r="L123" i="77"/>
  <c r="AD123" i="77" s="1"/>
  <c r="AD122" i="77"/>
  <c r="AD121" i="77"/>
  <c r="AD120" i="77"/>
  <c r="P119" i="77"/>
  <c r="N119" i="77"/>
  <c r="M119" i="77"/>
  <c r="L119" i="77"/>
  <c r="H119" i="77"/>
  <c r="O118" i="77"/>
  <c r="AD118" i="77" s="1"/>
  <c r="N117" i="77"/>
  <c r="M117" i="77"/>
  <c r="L117" i="77"/>
  <c r="J117" i="77"/>
  <c r="H117" i="77"/>
  <c r="AD116" i="77"/>
  <c r="O115" i="77"/>
  <c r="N115" i="77"/>
  <c r="M115" i="77"/>
  <c r="L115" i="77"/>
  <c r="H115" i="77"/>
  <c r="F115" i="77"/>
  <c r="O114" i="77"/>
  <c r="N114" i="77"/>
  <c r="L114" i="77"/>
  <c r="K114" i="77"/>
  <c r="J114" i="77"/>
  <c r="F114" i="77"/>
  <c r="AD113" i="77"/>
  <c r="J112" i="77"/>
  <c r="AD112" i="77" s="1"/>
  <c r="AD111" i="77"/>
  <c r="J110" i="77"/>
  <c r="AD110" i="77" s="1"/>
  <c r="I109" i="77"/>
  <c r="H109" i="77"/>
  <c r="G109" i="77"/>
  <c r="F109" i="77"/>
  <c r="N108" i="77"/>
  <c r="M108" i="77"/>
  <c r="L108" i="77"/>
  <c r="K108" i="77"/>
  <c r="J108" i="77"/>
  <c r="H108" i="77"/>
  <c r="F108" i="77"/>
  <c r="AD107" i="77"/>
  <c r="N106" i="77"/>
  <c r="F106" i="77"/>
  <c r="AD105" i="77"/>
  <c r="O104" i="77"/>
  <c r="N104" i="77"/>
  <c r="AD103" i="77"/>
  <c r="N102" i="77"/>
  <c r="AD102" i="77" s="1"/>
  <c r="AD101" i="77"/>
  <c r="AD100" i="77"/>
  <c r="P99" i="77"/>
  <c r="N99" i="77"/>
  <c r="M99" i="77"/>
  <c r="J99" i="77"/>
  <c r="H99" i="77"/>
  <c r="P98" i="77"/>
  <c r="N98" i="77"/>
  <c r="M98" i="77"/>
  <c r="AD97" i="77"/>
  <c r="J96" i="77"/>
  <c r="AD96" i="77" s="1"/>
  <c r="L95" i="77"/>
  <c r="H95" i="77"/>
  <c r="F95" i="77"/>
  <c r="AD94" i="77"/>
  <c r="AD93" i="77"/>
  <c r="N92" i="77"/>
  <c r="L92" i="77"/>
  <c r="AD90" i="77"/>
  <c r="AD88" i="77"/>
  <c r="AD87" i="77"/>
  <c r="AD85" i="77"/>
  <c r="AD84" i="77"/>
  <c r="AD83" i="77"/>
  <c r="N82" i="77"/>
  <c r="L82" i="77"/>
  <c r="H82" i="77"/>
  <c r="AD81" i="77"/>
  <c r="N80" i="77"/>
  <c r="L80" i="77"/>
  <c r="H80" i="77"/>
  <c r="N79" i="77"/>
  <c r="J79" i="77"/>
  <c r="H79" i="77"/>
  <c r="F79" i="77"/>
  <c r="P77" i="77"/>
  <c r="N77" i="77"/>
  <c r="L77" i="77"/>
  <c r="J77" i="77"/>
  <c r="H77" i="77"/>
  <c r="F77" i="77"/>
  <c r="L76" i="77"/>
  <c r="AD76" i="77" s="1"/>
  <c r="O74" i="77"/>
  <c r="N74" i="77"/>
  <c r="L74" i="77"/>
  <c r="F74" i="77"/>
  <c r="O72" i="77"/>
  <c r="N72" i="77"/>
  <c r="L72" i="77"/>
  <c r="H72" i="77"/>
  <c r="L68" i="77"/>
  <c r="AD66" i="77"/>
  <c r="N64" i="77"/>
  <c r="L64" i="77"/>
  <c r="H64" i="77"/>
  <c r="F64" i="77"/>
  <c r="P63" i="77"/>
  <c r="O63" i="77"/>
  <c r="N63" i="77"/>
  <c r="L63" i="77"/>
  <c r="H63" i="77"/>
  <c r="AD62" i="77"/>
  <c r="AD60" i="77"/>
  <c r="J59" i="77"/>
  <c r="AD59" i="77" s="1"/>
  <c r="O58" i="77"/>
  <c r="L58" i="77"/>
  <c r="H58" i="77"/>
  <c r="AD57" i="77"/>
  <c r="O56" i="77"/>
  <c r="L56" i="77"/>
  <c r="N51" i="77"/>
  <c r="L51" i="77"/>
  <c r="M48" i="77"/>
  <c r="L48" i="77"/>
  <c r="K48" i="77"/>
  <c r="H48" i="77"/>
  <c r="G48" i="77"/>
  <c r="F48" i="77"/>
  <c r="K47" i="77"/>
  <c r="J47" i="77"/>
  <c r="AD46" i="77"/>
  <c r="O45" i="77"/>
  <c r="N45" i="77"/>
  <c r="M45" i="77"/>
  <c r="L45" i="77"/>
  <c r="J45" i="77"/>
  <c r="I45" i="77"/>
  <c r="H45" i="77"/>
  <c r="G45" i="77"/>
  <c r="F45" i="77"/>
  <c r="G44" i="77"/>
  <c r="F44" i="77"/>
  <c r="AD43" i="77"/>
  <c r="L42" i="77"/>
  <c r="AD42" i="77" s="1"/>
  <c r="M41" i="77"/>
  <c r="L41" i="77"/>
  <c r="K41" i="77"/>
  <c r="G41" i="77"/>
  <c r="AD40" i="77"/>
  <c r="AD39" i="77"/>
  <c r="AD38" i="77"/>
  <c r="AD37" i="77"/>
  <c r="AD36" i="77"/>
  <c r="N35" i="77"/>
  <c r="K35" i="77"/>
  <c r="J35" i="77"/>
  <c r="N34" i="77"/>
  <c r="M34" i="77"/>
  <c r="L34" i="77"/>
  <c r="H34" i="77"/>
  <c r="G34" i="77"/>
  <c r="F34" i="77"/>
  <c r="N33" i="77"/>
  <c r="M33" i="77"/>
  <c r="L33" i="77"/>
  <c r="K33" i="77"/>
  <c r="N32" i="77"/>
  <c r="M32" i="77"/>
  <c r="L32" i="77"/>
  <c r="H32" i="77"/>
  <c r="F32" i="77"/>
  <c r="AD31" i="77"/>
  <c r="O29" i="77"/>
  <c r="N29" i="77"/>
  <c r="M29" i="77"/>
  <c r="L29" i="77"/>
  <c r="K29" i="77"/>
  <c r="J29" i="77"/>
  <c r="H29" i="77"/>
  <c r="G29" i="77"/>
  <c r="F29" i="77"/>
  <c r="P28" i="77"/>
  <c r="N28" i="77"/>
  <c r="M28" i="77"/>
  <c r="L28" i="77"/>
  <c r="K28" i="77"/>
  <c r="J28" i="77"/>
  <c r="H28" i="77"/>
  <c r="AD26" i="77"/>
  <c r="AD25" i="77"/>
  <c r="F24" i="77"/>
  <c r="AD24" i="77" s="1"/>
  <c r="O23" i="77"/>
  <c r="N23" i="77"/>
  <c r="L23" i="77"/>
  <c r="H23" i="77"/>
  <c r="O22" i="77"/>
  <c r="N22" i="77"/>
  <c r="L22" i="77"/>
  <c r="K22" i="77"/>
  <c r="J22" i="77"/>
  <c r="H22" i="77"/>
  <c r="F22" i="77"/>
  <c r="O21" i="77"/>
  <c r="J21" i="77"/>
  <c r="P19" i="77"/>
  <c r="N19" i="77"/>
  <c r="L19" i="77"/>
  <c r="K19" i="77"/>
  <c r="H19" i="77"/>
  <c r="AD17" i="77"/>
  <c r="AD16" i="77"/>
  <c r="O15" i="77"/>
  <c r="N15" i="77"/>
  <c r="M15" i="77"/>
  <c r="L15" i="77"/>
  <c r="K15" i="77"/>
  <c r="J15" i="77"/>
  <c r="H15" i="77"/>
  <c r="F15" i="77"/>
  <c r="AD14" i="77"/>
  <c r="K13" i="77"/>
  <c r="J13" i="77"/>
  <c r="H13" i="77"/>
  <c r="F13" i="77"/>
  <c r="N12" i="77"/>
  <c r="L12" i="77"/>
  <c r="J12" i="77"/>
  <c r="H12" i="77"/>
  <c r="G12" i="77"/>
  <c r="F12" i="77"/>
  <c r="O11" i="77"/>
  <c r="N11" i="77"/>
  <c r="L11" i="77"/>
  <c r="K11" i="77"/>
  <c r="J11" i="77"/>
  <c r="H11" i="77"/>
  <c r="G11" i="77"/>
  <c r="F11" i="77"/>
  <c r="AD10" i="77"/>
  <c r="N9" i="77"/>
  <c r="L9" i="77"/>
  <c r="K9" i="77"/>
  <c r="J9" i="77"/>
  <c r="I9" i="77"/>
  <c r="H9" i="77"/>
  <c r="F9" i="77"/>
  <c r="O8" i="77"/>
  <c r="N8" i="77"/>
  <c r="L8" i="77"/>
  <c r="K8" i="77"/>
  <c r="H8" i="77"/>
  <c r="AD163" i="77" l="1"/>
  <c r="AD68" i="77"/>
  <c r="AD134" i="77"/>
  <c r="AD56" i="77"/>
  <c r="AD74" i="77"/>
  <c r="AD29" i="77"/>
  <c r="AD28" i="77"/>
  <c r="AD147" i="77"/>
  <c r="AD106" i="77"/>
  <c r="AD158" i="77"/>
  <c r="AD51" i="77"/>
  <c r="AD63" i="77"/>
  <c r="AD19" i="77"/>
  <c r="I164" i="77"/>
  <c r="AD144" i="77"/>
  <c r="AD58" i="77"/>
  <c r="AD44" i="77"/>
  <c r="AD47" i="77"/>
  <c r="AD104" i="77"/>
  <c r="AD157" i="77"/>
  <c r="F164" i="77"/>
  <c r="AD64" i="77"/>
  <c r="H164" i="77"/>
  <c r="AD21" i="77"/>
  <c r="AD82" i="77"/>
  <c r="AD109" i="77"/>
  <c r="AD114" i="77"/>
  <c r="AD115" i="77"/>
  <c r="AD137" i="77"/>
  <c r="AD154" i="77"/>
  <c r="AD160" i="77"/>
  <c r="K164" i="77"/>
  <c r="AD11" i="77"/>
  <c r="M164" i="77"/>
  <c r="AD98" i="77"/>
  <c r="AD117" i="77"/>
  <c r="AD119" i="77"/>
  <c r="AD145" i="77"/>
  <c r="AD35" i="77"/>
  <c r="L164" i="77"/>
  <c r="J164" i="77"/>
  <c r="G164" i="77"/>
  <c r="AD22" i="77"/>
  <c r="AD32" i="77"/>
  <c r="AD34" i="77"/>
  <c r="AD45" i="77"/>
  <c r="AD48" i="77"/>
  <c r="AD72" i="77"/>
  <c r="AD80" i="77"/>
  <c r="AD95" i="77"/>
  <c r="AD130" i="77"/>
  <c r="AD141" i="77"/>
  <c r="N164" i="77"/>
  <c r="AD12" i="77"/>
  <c r="AD13" i="77"/>
  <c r="AD15" i="77"/>
  <c r="AD92" i="77"/>
  <c r="AD108" i="77"/>
  <c r="AD138" i="77"/>
  <c r="O164" i="77"/>
  <c r="AD23" i="77"/>
  <c r="AD41" i="77"/>
  <c r="AD77" i="77"/>
  <c r="AD99" i="77"/>
  <c r="AD129" i="77"/>
  <c r="AD139" i="77"/>
  <c r="AD148" i="77"/>
  <c r="P164" i="77"/>
  <c r="AD33" i="77"/>
  <c r="AD9" i="77"/>
  <c r="AD8" i="77"/>
  <c r="E164" i="77"/>
  <c r="AD164" i="77" l="1"/>
  <c r="AF164" i="77" s="1"/>
  <c r="AG164" i="77" l="1"/>
  <c r="AI166" i="77"/>
  <c r="AJ166" i="77" s="1"/>
  <c r="AK166" i="77"/>
</calcChain>
</file>

<file path=xl/sharedStrings.xml><?xml version="1.0" encoding="utf-8"?>
<sst xmlns="http://schemas.openxmlformats.org/spreadsheetml/2006/main" count="511" uniqueCount="309">
  <si>
    <t>AGUA FARES</t>
  </si>
  <si>
    <t>ARCADIO ESPINAL</t>
  </si>
  <si>
    <t>BIONUCLEAR</t>
  </si>
  <si>
    <t>CARNICERIA DARIO</t>
  </si>
  <si>
    <t>CENTRO MEDICO</t>
  </si>
  <si>
    <t>CENTRO PLAZA LA FERIA</t>
  </si>
  <si>
    <t>COMPUTINTA</t>
  </si>
  <si>
    <t>EVELYN FLOR</t>
  </si>
  <si>
    <t>FARMACIA ELYFIOR</t>
  </si>
  <si>
    <t>GRAFINOR</t>
  </si>
  <si>
    <t>HOSPIFAR</t>
  </si>
  <si>
    <t>HNOS.PIMENTEL</t>
  </si>
  <si>
    <t>IMPRESOS R&amp;R</t>
  </si>
  <si>
    <t>IMPRESOS DIVERSOS</t>
  </si>
  <si>
    <t>JOSE FERNANDEZ</t>
  </si>
  <si>
    <t>LAB. BIOMEDICA</t>
  </si>
  <si>
    <t>OXIGENOS EL CHINO</t>
  </si>
  <si>
    <t>REMIFAR COMERCIAL</t>
  </si>
  <si>
    <t>SERCLAMED,SRL</t>
  </si>
  <si>
    <t>SUPERMERCADO MAEÑO</t>
  </si>
  <si>
    <t>TDA. LAS MARGARITAS</t>
  </si>
  <si>
    <t>TDA. CUCHA</t>
  </si>
  <si>
    <t>ULTRACOMPUTERS</t>
  </si>
  <si>
    <t>ULTRALAB</t>
  </si>
  <si>
    <t>Repuestos Danilo Santos</t>
  </si>
  <si>
    <t>SEAN DOMINICAN, SRL.</t>
  </si>
  <si>
    <t>MIX AIR DOMINICANA, SRL.</t>
  </si>
  <si>
    <t>NO</t>
  </si>
  <si>
    <t xml:space="preserve">NOMBRES PROVEEDOR  </t>
  </si>
  <si>
    <t>ALMANZAR ESTEVEZ,SRL</t>
  </si>
  <si>
    <t>ALQUILERES JEREZ</t>
  </si>
  <si>
    <t>A&amp;M PLOMERIA Y ELECTRICIDAD</t>
  </si>
  <si>
    <t>AIR LIQUIDE</t>
  </si>
  <si>
    <t>AGROFEN</t>
  </si>
  <si>
    <t>AYUNTAMIENTO MUNICIPAL</t>
  </si>
  <si>
    <t>BIO-NOVA</t>
  </si>
  <si>
    <t>CAMESUP,SRL</t>
  </si>
  <si>
    <t>FOOD COURT MOREL</t>
  </si>
  <si>
    <t>JOSE ANTONIO MARRERO</t>
  </si>
  <si>
    <t>LAB.CLINICO MARIA F.M</t>
  </si>
  <si>
    <t>LAB.DENTAL HNOS. HERNANDEZ</t>
  </si>
  <si>
    <t>LUIS MIGUEL ESTEVEZ</t>
  </si>
  <si>
    <t>MEDI- SAN</t>
  </si>
  <si>
    <t>MULTICENTRO EL MANA</t>
  </si>
  <si>
    <t>MULTI SERVICIOS MAO</t>
  </si>
  <si>
    <t>SUPERMERCADO MOREL</t>
  </si>
  <si>
    <t>SUED &amp; FARGESA,SRL</t>
  </si>
  <si>
    <t>TIO DEPOSITO DENTAL</t>
  </si>
  <si>
    <t>PREPARADO POR:</t>
  </si>
  <si>
    <t>LIC. JENNIFFER RODRIGUEZ</t>
  </si>
  <si>
    <t xml:space="preserve">Enc. Depto. De Contbailidad </t>
  </si>
  <si>
    <t xml:space="preserve">SERVICIO NACIONAL DE SALUD </t>
  </si>
  <si>
    <t xml:space="preserve">DIRECCION DE FISCALIZACION Y CONTROL </t>
  </si>
  <si>
    <t>ESTABLECIMIENTO:  HOSPITAL REGIONAL ING. LUIS L. BOGAERT</t>
  </si>
  <si>
    <t xml:space="preserve">CONCEPTO DE COMPRA ( BREVE DESCRIPCION ) </t>
  </si>
  <si>
    <t>FUENTE DE FINANCIAMIENTO</t>
  </si>
  <si>
    <t>REACTIVO DE LABORATORIO</t>
  </si>
  <si>
    <t>F.O</t>
  </si>
  <si>
    <t>ALQUILERES DE SILLAS</t>
  </si>
  <si>
    <t>VS</t>
  </si>
  <si>
    <t>MATERIALES FERRETEROS</t>
  </si>
  <si>
    <t>AGUA</t>
  </si>
  <si>
    <t>MEDICAMENTOS</t>
  </si>
  <si>
    <t>OXIGENOS MEDICO</t>
  </si>
  <si>
    <t>SUM.REFRIGERACION</t>
  </si>
  <si>
    <t>ALIMENTOS</t>
  </si>
  <si>
    <t>ARBITRIO MUNICIPAL POR REC.BASURA</t>
  </si>
  <si>
    <t>SUMINISTRO DE LABORATORIO</t>
  </si>
  <si>
    <t>CARNES DE CERDO Y RES</t>
  </si>
  <si>
    <t>SUMINISTRO QUIRURGICO</t>
  </si>
  <si>
    <t>COMBUSTIBLES</t>
  </si>
  <si>
    <t>ELECTRODOMESTICO</t>
  </si>
  <si>
    <t>MATERIAL DE INFORAMATICA</t>
  </si>
  <si>
    <t>MATERIAL QUIRURGICO</t>
  </si>
  <si>
    <t>GLP</t>
  </si>
  <si>
    <t>SUM.FLORES DIA DE DUARTE</t>
  </si>
  <si>
    <t>IMPRESOS</t>
  </si>
  <si>
    <t>IMPRESOS Y MAT. DE OFICNAS</t>
  </si>
  <si>
    <t>MANT.EQ.LABORATORIO</t>
  </si>
  <si>
    <t>CONFECCION DE LLAVES</t>
  </si>
  <si>
    <t>COMPRA DE SANGRE</t>
  </si>
  <si>
    <t>SUMINISTRO DE ODONTOLOGIA</t>
  </si>
  <si>
    <t>LABORATORIO CLASSIC DENTAL</t>
  </si>
  <si>
    <t>SERVICIO DE ALIMENTACION</t>
  </si>
  <si>
    <t>MATERIAL GAST. Y MEDICAMENTOS</t>
  </si>
  <si>
    <t>INTERNET</t>
  </si>
  <si>
    <t>UTILES DE DECORACION</t>
  </si>
  <si>
    <t>ALQUILRES</t>
  </si>
  <si>
    <t>MANT.EQ. TRANSPORTE</t>
  </si>
  <si>
    <t>ALIMENTOS,MAT.PLASTICO Y DE LIMP</t>
  </si>
  <si>
    <t>ALIMENTOS,MAT.PLASTICO Y DE LIMP.</t>
  </si>
  <si>
    <t>PLASTICO Y UT. DE COCINA</t>
  </si>
  <si>
    <t>ARTICULOS DIVERSOS</t>
  </si>
  <si>
    <t>MATERIAL DE INFORMATICA</t>
  </si>
  <si>
    <t>UNIQUE</t>
  </si>
  <si>
    <t xml:space="preserve">REVISADO POR: </t>
  </si>
  <si>
    <t>LIC. JEAN FLORES</t>
  </si>
  <si>
    <t>Administrador</t>
  </si>
  <si>
    <t>Altice Dominicana, S.A.</t>
  </si>
  <si>
    <t>TELEFONO</t>
  </si>
  <si>
    <t>SILVER PHARMA</t>
  </si>
  <si>
    <t>LGM MULTISERVICIOS, SRL</t>
  </si>
  <si>
    <t>FUMIGACION</t>
  </si>
  <si>
    <t>COMPAÑÍA DOMINICANA DE TELEFONOS. SA</t>
  </si>
  <si>
    <t>NIFRARMED</t>
  </si>
  <si>
    <t>MEDICAMENTOS Y MAT. QUIRURGICO</t>
  </si>
  <si>
    <t>BRICOM, SRL</t>
  </si>
  <si>
    <t>SUMINISTRO DE OFICINA</t>
  </si>
  <si>
    <t>COMBUSTIBLE DEL YUNA, SRL</t>
  </si>
  <si>
    <t>METROGAS, SRL</t>
  </si>
  <si>
    <t>DR. NEWTON SOLANO</t>
  </si>
  <si>
    <t>APROBODO POR:</t>
  </si>
  <si>
    <t>Director</t>
  </si>
  <si>
    <t>SSP SERVISALUD PREMIUN, SRL</t>
  </si>
  <si>
    <t>DISTRIBUIDORA DE MAT. DE RAYOS X</t>
  </si>
  <si>
    <t>RAYOS X</t>
  </si>
  <si>
    <t>MORAMI</t>
  </si>
  <si>
    <t>HOSPICALFA MEDICAL, SRL</t>
  </si>
  <si>
    <t>MANTENIMIENTO</t>
  </si>
  <si>
    <t>SPEEDWI TELECOM, SRL</t>
  </si>
  <si>
    <t>SUMINISTROS DE RAYOS X</t>
  </si>
  <si>
    <t>IMPRENTA REYES CABRERA</t>
  </si>
  <si>
    <t>ANGLO AMERICANA DE SEGUROS</t>
  </si>
  <si>
    <t>POLIZA DE RESPONSABILIDAD CIVIL</t>
  </si>
  <si>
    <t>EDITORA PUNTO CENTRAL</t>
  </si>
  <si>
    <t>MAT. DE IMPRESIÓN</t>
  </si>
  <si>
    <t>FARACH</t>
  </si>
  <si>
    <t>TOTAL DEUDA</t>
  </si>
  <si>
    <t xml:space="preserve">  </t>
  </si>
  <si>
    <t>DIMEDOM, SRL</t>
  </si>
  <si>
    <t>EPX DOMINICANA</t>
  </si>
  <si>
    <t>KARIBERTH TECNOLOGY</t>
  </si>
  <si>
    <t>GRUPO FARMACEUTICO CAR-M</t>
  </si>
  <si>
    <t>LAMBDA DIAGNOSTICA</t>
  </si>
  <si>
    <t>MAO CENTRAL CONECTIONS</t>
  </si>
  <si>
    <t>LAMEX</t>
  </si>
  <si>
    <t>RICO - PAN</t>
  </si>
  <si>
    <t xml:space="preserve">CLINIMED </t>
  </si>
  <si>
    <t>FO</t>
  </si>
  <si>
    <t>HEXAPOWER PHARMA, SRL</t>
  </si>
  <si>
    <t>SUPER ESTACION MAO</t>
  </si>
  <si>
    <t>COMBUSTIBLE</t>
  </si>
  <si>
    <t>QUIRURGICOS</t>
  </si>
  <si>
    <t>UNIVERSAL DE COMPUTOS</t>
  </si>
  <si>
    <t>CETIOSA</t>
  </si>
  <si>
    <t>ORTHO HELP DOMINICANA</t>
  </si>
  <si>
    <t xml:space="preserve"> </t>
  </si>
  <si>
    <t>COMPROMISO DE DEUDAS 2024</t>
  </si>
  <si>
    <t>IGUALA</t>
  </si>
  <si>
    <t>Gasto al 31/12/2024</t>
  </si>
  <si>
    <t>MEDICAL SUPPLY HERNANDEZ VARGAS</t>
  </si>
  <si>
    <t>CIRCUIMED</t>
  </si>
  <si>
    <t>EQUIPO MEDICO</t>
  </si>
  <si>
    <t>SEMINSA</t>
  </si>
  <si>
    <t>ALFRED ANTONIO REINOSO</t>
  </si>
  <si>
    <t>MANTENIMIENTO E INSTALACION DE AIRES</t>
  </si>
  <si>
    <t>MANTENIMIENTO EQ. MEDICOS</t>
  </si>
  <si>
    <t>EQUIPOS DE OFICINAS</t>
  </si>
  <si>
    <t>BP MEDICAL, SA</t>
  </si>
  <si>
    <t>SERVICIOS Y MANTENIMIENTOS EQ. MEDICOS</t>
  </si>
  <si>
    <t>ABREU LANTIGUA EVENTOS</t>
  </si>
  <si>
    <t>CARLOS RAFAEL ANTONIO VARGAS</t>
  </si>
  <si>
    <t>JACKSON BUENO</t>
  </si>
  <si>
    <t>SERVICIOS DE MANTENIMIENTO</t>
  </si>
  <si>
    <t>SERVICIOS  DE PINTURA</t>
  </si>
  <si>
    <t>SERVICIOS DE ALQUILER</t>
  </si>
  <si>
    <t>MEDIDENTAL, SRL</t>
  </si>
  <si>
    <t>SERVIAMED DOMINICANA, SRL</t>
  </si>
  <si>
    <t>ARGOS FARMACEUTCA, SRL</t>
  </si>
  <si>
    <t>FR</t>
  </si>
  <si>
    <t>JUAN RAMIREZ</t>
  </si>
  <si>
    <t>TECNICO DE REFRIGERACION</t>
  </si>
  <si>
    <t>ZEN PHARMACUTHICAL. SRL</t>
  </si>
  <si>
    <t>LAHMEDOM DOMINICANA SRL</t>
  </si>
  <si>
    <t>ARTELUZ, SRL</t>
  </si>
  <si>
    <t>ALQUILERES</t>
  </si>
  <si>
    <t>ADALBERTO CALDERON PEREZ</t>
  </si>
  <si>
    <t>SERCIOS DE MANTENIMIENTO</t>
  </si>
  <si>
    <t>DELMEDICAL, SRL</t>
  </si>
  <si>
    <t>MANTENIMIENTO EQP. ODONTOLOGIA</t>
  </si>
  <si>
    <t>UNITRADE,SRL</t>
  </si>
  <si>
    <t>MANTENIMIENTO UPS</t>
  </si>
  <si>
    <t>JOSE LUIS GONZALEZ ROSARIO</t>
  </si>
  <si>
    <t>CELCA DISPLAY, SRL</t>
  </si>
  <si>
    <t>CAUNTER</t>
  </si>
  <si>
    <t>JAY-BIO FARM, EIRL</t>
  </si>
  <si>
    <t>FHEYAMS SERVICES</t>
  </si>
  <si>
    <t>TEXTILES</t>
  </si>
  <si>
    <t>MAQUINARIA</t>
  </si>
  <si>
    <t>Gasto al 31/01/2025</t>
  </si>
  <si>
    <t>Pagos al 31/01/2025</t>
  </si>
  <si>
    <t>Gasto al 28/02/2025</t>
  </si>
  <si>
    <t>Gasto al 31/03/2025</t>
  </si>
  <si>
    <t>Pagos al 31/03/2025</t>
  </si>
  <si>
    <t>Gasto al 30/04/2025</t>
  </si>
  <si>
    <t>Pagos al 30/04/2025</t>
  </si>
  <si>
    <t>Gasto al 31/05/2025</t>
  </si>
  <si>
    <t>Pagos al 31/05/2025</t>
  </si>
  <si>
    <t>Gasto al 30/06/2025</t>
  </si>
  <si>
    <t>Pagos al 30/06/2025</t>
  </si>
  <si>
    <t>Gasto al 31/07/2025</t>
  </si>
  <si>
    <t>Pagos al 31/07/2025</t>
  </si>
  <si>
    <t>Gasto al 31/08/2025</t>
  </si>
  <si>
    <t>Pagos al 31/08/2025</t>
  </si>
  <si>
    <t>Gasto al 30/09/2025</t>
  </si>
  <si>
    <t>Pagos al 30/09/2025</t>
  </si>
  <si>
    <t>Gasto al 31/10/2025</t>
  </si>
  <si>
    <t>Pagos al 31/10/2025</t>
  </si>
  <si>
    <t>Gasto al 30/11/2025</t>
  </si>
  <si>
    <t>Pagos al 30/11/2025</t>
  </si>
  <si>
    <t>Gasto al 31/12/2025</t>
  </si>
  <si>
    <t>Pagos al 31/12/2025</t>
  </si>
  <si>
    <t>STRONICS</t>
  </si>
  <si>
    <t>LOGOMARCA</t>
  </si>
  <si>
    <t>ARTES GRAFICAS</t>
  </si>
  <si>
    <t>TURINTER</t>
  </si>
  <si>
    <t>AGENCIA</t>
  </si>
  <si>
    <t>INSTITUTO NACIONAL DE AGUAS POTABLES Y ALCANTARILLADO (INAPA)</t>
  </si>
  <si>
    <t>F.O.</t>
  </si>
  <si>
    <t>LIMPIA SEPTICO MORA,SRL</t>
  </si>
  <si>
    <t>LIMPIEZA PLANTA DE TRATAMINETO</t>
  </si>
  <si>
    <t>PLAZA VALVERDE</t>
  </si>
  <si>
    <t>ELECTRODOMESTICOS</t>
  </si>
  <si>
    <t>CARLOS OVIDIO GENAO BUENO</t>
  </si>
  <si>
    <t>ESTANDARTE, SRL</t>
  </si>
  <si>
    <t>Pagos al 28/02/2025</t>
  </si>
  <si>
    <t>ELECTRICIDAD CARLOS GOMEZ</t>
  </si>
  <si>
    <t>SERVICIOS Y MANT. Y REPARACIONES DE CONST.</t>
  </si>
  <si>
    <t>PRODACOM,SRL</t>
  </si>
  <si>
    <t>EQUIPOS DE TECNOLOGIA</t>
  </si>
  <si>
    <t>ERO DENT, SRL</t>
  </si>
  <si>
    <t xml:space="preserve">SERVICIOS Y MANTENIMIENTO Y REPARACIONES </t>
  </si>
  <si>
    <t>MEDEQUIP, SRL</t>
  </si>
  <si>
    <t>PEREZ BARROZO, SRL</t>
  </si>
  <si>
    <t>ENDOSCOPY MEDICAL SISTEMS JC, SRL</t>
  </si>
  <si>
    <t>SUMINISTROS MEDICOS</t>
  </si>
  <si>
    <t>MESSI, SRL</t>
  </si>
  <si>
    <t>UTILES DE COCINA Y COMEDOR</t>
  </si>
  <si>
    <t>CONFORMATIC, SRL</t>
  </si>
  <si>
    <t>EQUIPO DE REFRIGERACION</t>
  </si>
  <si>
    <t>IVELISSE AlT. JIMENEZ</t>
  </si>
  <si>
    <t>ENC. TEMPORAL  DE DESPENSA</t>
  </si>
  <si>
    <t>STARSOFT, SRL</t>
  </si>
  <si>
    <t xml:space="preserve">SISTEMA </t>
  </si>
  <si>
    <t>Q-TECH SOLUTIONS</t>
  </si>
  <si>
    <t>BRYMADA, SRL</t>
  </si>
  <si>
    <t>MULTIGESTIONES YAVIC, SRL</t>
  </si>
  <si>
    <t>METALGAS, SRL</t>
  </si>
  <si>
    <t>BERNABEL PERALTA</t>
  </si>
  <si>
    <t>EQUIPOS DE COCINA</t>
  </si>
  <si>
    <t>ALQUILER DE TRANSPORTE</t>
  </si>
  <si>
    <t>ROBERT ANIBAL PAULINO</t>
  </si>
  <si>
    <t>SERVICIOS DE PINTURA</t>
  </si>
  <si>
    <t>UNIVERSIDAD AUTONOMA DE SANTIAGO</t>
  </si>
  <si>
    <t>SERVICIOS DE REFRIGERIO</t>
  </si>
  <si>
    <t>LABORATORIO GARCIA &amp; GARCIA</t>
  </si>
  <si>
    <t>PRUEVAS DE CULTIVO</t>
  </si>
  <si>
    <t>LEONARDO ALBERTO DEL ORBE</t>
  </si>
  <si>
    <t>SERVICIOS LEGALES</t>
  </si>
  <si>
    <t>MATERIALES DE LIMPIEZA</t>
  </si>
  <si>
    <t>TEKGRAF, SRL</t>
  </si>
  <si>
    <t>MATERIALES DE OFICINA</t>
  </si>
  <si>
    <t>ALMACENES SANTIAGO, SRL</t>
  </si>
  <si>
    <t>PRINT FACTORY, SRL</t>
  </si>
  <si>
    <t>SUPLITODO RD GAMVESA, SRL</t>
  </si>
  <si>
    <t>ALMACENES VALERIO</t>
  </si>
  <si>
    <t>MATERIALES PARA CARNET</t>
  </si>
  <si>
    <t>FERNANDO TAVARES SOLUTIONS,SRL</t>
  </si>
  <si>
    <t>MATERIALES DE INFORMATICA</t>
  </si>
  <si>
    <t>SUPLIDORES MEDICOS COMERCIALES, SRL</t>
  </si>
  <si>
    <t>SUPERLAPTOP BROWSING, SRL</t>
  </si>
  <si>
    <t>EQUIPOS INFORMATICOS</t>
  </si>
  <si>
    <t>GESTIONES SANITARIAS Y AMBIENTALES (GESA), srl</t>
  </si>
  <si>
    <t>ANALISIS DE AGUA</t>
  </si>
  <si>
    <t>G3 INDUSTRIAL, SRL</t>
  </si>
  <si>
    <t>PAPEL DE ESCRITORIO</t>
  </si>
  <si>
    <t>STIMULAN RD, SRL</t>
  </si>
  <si>
    <t>MEDICAMENTO</t>
  </si>
  <si>
    <t>JUAN GILBERTO SEVERINO</t>
  </si>
  <si>
    <t>GASTOS DE ALGUACIL</t>
  </si>
  <si>
    <t>BIOMATERIALES DOMINICANOS</t>
  </si>
  <si>
    <t>MATERIALES QUIRURGICO</t>
  </si>
  <si>
    <t>HATICO AGROINDUSTRIAL</t>
  </si>
  <si>
    <t>ALIMENTACION</t>
  </si>
  <si>
    <t>JAYCO BOUTIQUE DE SOUVENIRS, SRL</t>
  </si>
  <si>
    <t>BIOINGENIOUS SMART SOLUTIONS, SRL</t>
  </si>
  <si>
    <t>MANTENIMIENTO TOMOGRAFO</t>
  </si>
  <si>
    <t>DISTIBUIDORA Y SEVICIOS DIVERSOS</t>
  </si>
  <si>
    <t xml:space="preserve">SELLOS </t>
  </si>
  <si>
    <t>AMANDA ISABEL FERNANDEZ</t>
  </si>
  <si>
    <t>SERVICIOS DE DIGITACION</t>
  </si>
  <si>
    <t>ROSAANYELIBA LECLERC</t>
  </si>
  <si>
    <t>DERVICIOS DE DEIGITACION</t>
  </si>
  <si>
    <t>FARMACONAL, SA</t>
  </si>
  <si>
    <t>INSUMOS QUIRURGICO</t>
  </si>
  <si>
    <t>WILMIN EDILVERT CHAVEZ JAQUEZ</t>
  </si>
  <si>
    <t>PUERTAS</t>
  </si>
  <si>
    <t>ELULALIO MARTIR DE LA ROSA</t>
  </si>
  <si>
    <t>ROCE DENTAL</t>
  </si>
  <si>
    <t>INSUMOS DE ODONTOLOGIA</t>
  </si>
  <si>
    <t>LETRERO DE EMERGENCIA</t>
  </si>
  <si>
    <t>RONNY PUBLICIDAD, SRL</t>
  </si>
  <si>
    <t>EDITORA LISTIN DIARIO</t>
  </si>
  <si>
    <t>PUBLICACION</t>
  </si>
  <si>
    <t>DIARIO LIBRE</t>
  </si>
  <si>
    <t>EDITORA EL CARIBE C POR A</t>
  </si>
  <si>
    <t>PUBLICACION DE LICITACION</t>
  </si>
  <si>
    <t>IDELSA MARTINEZ</t>
  </si>
  <si>
    <t>SERVICIOS DE LECTURA DE IMÁGENES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</si>
</sst>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-* #,##0.00\ _€_-;\-* #,##0.00\ _€_-;_-* &quot;-&quot;??\ _€_-;_-@_-"/>
    <numFmt numFmtId="164" formatCode="_(* #,##0.00_);_(* \(#,##0.00\);_(* &quot;-&quot;??_);_(@_)"/>
    <numFmt numFmtId="165" formatCode="_-* #,##0.00\ _$_-;\-* #,##0.00\ _$_-;_-* &quot;-&quot;??\ _$_-;_-@_-"/>
    <numFmt numFmtId="166" formatCode="_(&quot;RD$&quot;* #,##0.00_);_(&quot;RD$&quot;* \(#,##0.00\);_(&quot;RD$&quot;* &quot;-&quot;??_);_(@_)"/>
    <numFmt numFmtId="167" formatCode="_-* #,##0.00_-;\-* #,##0.00_-;_-* &quot;-&quot;??_-;_-@_-"/>
    <numFmt numFmtId="168" formatCode="_-* #,##0.00\ _P_t_s_-;\-* #,##0.00\ _P_t_s_-;_-* &quot;-&quot;??\ _P_t_s_-;_-@_-"/>
    <numFmt numFmtId="169" formatCode="_([$€-2]* #,##0.00_);_([$€-2]* \(#,##0.00\);_([$€-2]* &quot;-&quot;??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rgb="FFC0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u val="singleAccounting"/>
      <sz val="9"/>
      <color theme="1"/>
      <name val="Calibri"/>
      <family val="2"/>
      <scheme val="minor"/>
    </font>
    <font>
      <u/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5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164" fontId="3" fillId="0" borderId="0" applyFont="0" applyFill="0" applyBorder="0" applyAlignment="0" applyProtection="0"/>
    <xf numFmtId="0" fontId="4" fillId="0" borderId="0"/>
    <xf numFmtId="0" fontId="2" fillId="0" borderId="0"/>
    <xf numFmtId="167" fontId="2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6" fontId="2" fillId="0" borderId="0" applyFont="0" applyFill="0" applyBorder="0" applyAlignment="0" applyProtection="0"/>
  </cellStyleXfs>
  <cellXfs count="66">
    <xf numFmtId="0" fontId="0" fillId="0" borderId="0" xfId="0"/>
    <xf numFmtId="0" fontId="5" fillId="0" borderId="0" xfId="0" applyFont="1"/>
    <xf numFmtId="165" fontId="0" fillId="0" borderId="0" xfId="0" applyNumberFormat="1"/>
    <xf numFmtId="0" fontId="7" fillId="0" borderId="0" xfId="0" applyFont="1"/>
    <xf numFmtId="0" fontId="8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164" fontId="0" fillId="0" borderId="0" xfId="1" applyFont="1"/>
    <xf numFmtId="164" fontId="5" fillId="0" borderId="0" xfId="1" applyFont="1"/>
    <xf numFmtId="164" fontId="8" fillId="0" borderId="0" xfId="1" applyFont="1"/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4" fillId="0" borderId="1" xfId="0" applyFont="1" applyBorder="1"/>
    <xf numFmtId="165" fontId="8" fillId="0" borderId="0" xfId="0" applyNumberFormat="1" applyFont="1"/>
    <xf numFmtId="168" fontId="6" fillId="4" borderId="4" xfId="9" applyFont="1" applyFill="1" applyBorder="1" applyAlignment="1">
      <alignment horizontal="right"/>
    </xf>
    <xf numFmtId="0" fontId="6" fillId="3" borderId="6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wrapText="1"/>
    </xf>
    <xf numFmtId="0" fontId="6" fillId="3" borderId="4" xfId="0" applyFont="1" applyFill="1" applyBorder="1" applyAlignment="1">
      <alignment horizontal="center" wrapText="1"/>
    </xf>
    <xf numFmtId="168" fontId="6" fillId="4" borderId="8" xfId="9" applyFont="1" applyFill="1" applyBorder="1" applyAlignment="1">
      <alignment horizontal="right"/>
    </xf>
    <xf numFmtId="0" fontId="13" fillId="0" borderId="0" xfId="0" applyFont="1" applyAlignment="1">
      <alignment horizontal="center" wrapText="1"/>
    </xf>
    <xf numFmtId="0" fontId="12" fillId="0" borderId="0" xfId="0" applyFont="1" applyAlignment="1">
      <alignment horizontal="center" wrapText="1"/>
    </xf>
    <xf numFmtId="168" fontId="5" fillId="0" borderId="1" xfId="9" applyFont="1" applyFill="1" applyBorder="1" applyAlignment="1">
      <alignment horizontal="right"/>
    </xf>
    <xf numFmtId="0" fontId="0" fillId="2" borderId="0" xfId="0" applyFill="1"/>
    <xf numFmtId="165" fontId="0" fillId="2" borderId="0" xfId="0" applyNumberFormat="1" applyFill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164" fontId="5" fillId="0" borderId="1" xfId="1" applyFont="1" applyFill="1" applyBorder="1" applyAlignment="1">
      <alignment horizontal="center"/>
    </xf>
    <xf numFmtId="168" fontId="5" fillId="0" borderId="1" xfId="9" applyFont="1" applyFill="1" applyBorder="1" applyAlignment="1">
      <alignment horizontal="center"/>
    </xf>
    <xf numFmtId="168" fontId="5" fillId="0" borderId="2" xfId="9" applyFont="1" applyFill="1" applyBorder="1" applyAlignment="1">
      <alignment horizontal="center"/>
    </xf>
    <xf numFmtId="0" fontId="14" fillId="0" borderId="1" xfId="0" applyFont="1" applyBorder="1" applyAlignment="1">
      <alignment horizontal="left"/>
    </xf>
    <xf numFmtId="168" fontId="14" fillId="0" borderId="1" xfId="9" applyFont="1" applyFill="1" applyBorder="1" applyAlignment="1">
      <alignment horizontal="center"/>
    </xf>
    <xf numFmtId="164" fontId="5" fillId="0" borderId="1" xfId="1" applyFont="1" applyFill="1" applyBorder="1" applyAlignment="1"/>
    <xf numFmtId="168" fontId="5" fillId="0" borderId="1" xfId="9" applyFont="1" applyFill="1" applyBorder="1" applyAlignment="1"/>
    <xf numFmtId="168" fontId="5" fillId="0" borderId="2" xfId="9" applyFont="1" applyFill="1" applyBorder="1" applyAlignment="1"/>
    <xf numFmtId="164" fontId="0" fillId="0" borderId="0" xfId="1" applyFont="1" applyFill="1"/>
    <xf numFmtId="168" fontId="5" fillId="0" borderId="5" xfId="9" applyFont="1" applyFill="1" applyBorder="1" applyAlignment="1">
      <alignment horizontal="center"/>
    </xf>
    <xf numFmtId="168" fontId="5" fillId="0" borderId="7" xfId="9" applyFont="1" applyFill="1" applyBorder="1" applyAlignment="1">
      <alignment horizontal="center"/>
    </xf>
    <xf numFmtId="164" fontId="0" fillId="0" borderId="0" xfId="0" applyNumberFormat="1"/>
    <xf numFmtId="0" fontId="14" fillId="0" borderId="1" xfId="0" applyFont="1" applyBorder="1" applyAlignment="1">
      <alignment horizontal="left" wrapText="1"/>
    </xf>
    <xf numFmtId="0" fontId="14" fillId="5" borderId="1" xfId="0" applyFont="1" applyFill="1" applyBorder="1" applyAlignment="1">
      <alignment horizontal="left" wrapText="1"/>
    </xf>
    <xf numFmtId="0" fontId="6" fillId="3" borderId="9" xfId="0" applyFont="1" applyFill="1" applyBorder="1" applyAlignment="1">
      <alignment horizont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wrapText="1"/>
    </xf>
    <xf numFmtId="14" fontId="6" fillId="3" borderId="10" xfId="1" applyNumberFormat="1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wrapText="1"/>
    </xf>
    <xf numFmtId="0" fontId="5" fillId="0" borderId="7" xfId="0" applyFont="1" applyBorder="1"/>
    <xf numFmtId="0" fontId="14" fillId="0" borderId="7" xfId="0" applyFont="1" applyBorder="1" applyAlignment="1">
      <alignment horizontal="left"/>
    </xf>
    <xf numFmtId="0" fontId="5" fillId="0" borderId="7" xfId="0" applyFont="1" applyBorder="1" applyAlignment="1">
      <alignment horizontal="center"/>
    </xf>
    <xf numFmtId="164" fontId="5" fillId="0" borderId="7" xfId="1" applyFont="1" applyFill="1" applyBorder="1" applyAlignment="1">
      <alignment horizontal="center"/>
    </xf>
    <xf numFmtId="0" fontId="5" fillId="0" borderId="11" xfId="0" applyFont="1" applyBorder="1"/>
    <xf numFmtId="164" fontId="6" fillId="4" borderId="10" xfId="1" applyFont="1" applyFill="1" applyBorder="1" applyAlignment="1">
      <alignment horizontal="center"/>
    </xf>
    <xf numFmtId="168" fontId="6" fillId="4" borderId="10" xfId="9" applyFont="1" applyFill="1" applyBorder="1" applyAlignment="1">
      <alignment horizontal="right"/>
    </xf>
    <xf numFmtId="168" fontId="14" fillId="0" borderId="2" xfId="9" applyFont="1" applyFill="1" applyBorder="1" applyAlignment="1">
      <alignment horizontal="center"/>
    </xf>
    <xf numFmtId="168" fontId="5" fillId="0" borderId="12" xfId="9" applyFont="1" applyFill="1" applyBorder="1" applyAlignment="1">
      <alignment horizontal="right"/>
    </xf>
    <xf numFmtId="168" fontId="5" fillId="0" borderId="13" xfId="9" applyFont="1" applyFill="1" applyBorder="1" applyAlignment="1">
      <alignment horizontal="right"/>
    </xf>
    <xf numFmtId="0" fontId="5" fillId="2" borderId="1" xfId="0" applyFont="1" applyFill="1" applyBorder="1" applyAlignment="1">
      <alignment horizontal="left" wrapText="1"/>
    </xf>
    <xf numFmtId="0" fontId="12" fillId="0" borderId="0" xfId="0" applyFont="1" applyAlignment="1">
      <alignment horizontal="center" wrapText="1"/>
    </xf>
    <xf numFmtId="164" fontId="11" fillId="0" borderId="0" xfId="1" applyFont="1" applyAlignment="1">
      <alignment horizontal="center" wrapText="1"/>
    </xf>
    <xf numFmtId="0" fontId="13" fillId="0" borderId="0" xfId="0" applyFont="1" applyAlignment="1">
      <alignment horizontal="center" wrapText="1"/>
    </xf>
    <xf numFmtId="164" fontId="13" fillId="0" borderId="0" xfId="1" applyFont="1" applyAlignment="1">
      <alignment horizontal="center" wrapText="1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4" borderId="10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164" fontId="8" fillId="0" borderId="0" xfId="1" applyFont="1" applyAlignment="1">
      <alignment horizontal="center"/>
    </xf>
  </cellXfs>
  <cellStyles count="15">
    <cellStyle name="Euro" xfId="10"/>
    <cellStyle name="Millares" xfId="1" builtinId="3"/>
    <cellStyle name="Millares 2" xfId="8"/>
    <cellStyle name="Millares 2 2" xfId="9"/>
    <cellStyle name="Millares 2 3" xfId="3"/>
    <cellStyle name="Millares 2 4" xfId="13"/>
    <cellStyle name="Millares 3" xfId="6"/>
    <cellStyle name="Millares 3 2" xfId="11"/>
    <cellStyle name="Moneda 2" xfId="14"/>
    <cellStyle name="Normal" xfId="0" builtinId="0"/>
    <cellStyle name="Normal 2" xfId="2"/>
    <cellStyle name="Normal 3" xfId="4"/>
    <cellStyle name="Normal 4" xfId="5"/>
    <cellStyle name="Normal 5" xfId="12"/>
    <cellStyle name="Porcentaje 2" xfId="7"/>
  </cellStyles>
  <dxfs count="0"/>
  <tableStyles count="0" defaultTableStyle="TableStyleMedium2" defaultPivotStyle="PivotStyleLight16"/>
  <colors>
    <mruColors>
      <color rgb="FFEFBFF3"/>
      <color rgb="FFB4FEF7"/>
      <color rgb="FF8C8E76"/>
      <color rgb="FFB6EB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72"/>
  <sheetViews>
    <sheetView tabSelected="1" zoomScale="130" zoomScaleNormal="130" workbookViewId="0">
      <pane ySplit="7" topLeftCell="A8" activePane="bottomLeft" state="frozen"/>
      <selection activeCell="C174" sqref="C174"/>
      <selection pane="bottomLeft" activeCell="A164" sqref="A164:D164"/>
    </sheetView>
  </sheetViews>
  <sheetFormatPr baseColWidth="10" defaultRowHeight="15" x14ac:dyDescent="0.25"/>
  <cols>
    <col min="1" max="1" width="4" customWidth="1"/>
    <col min="2" max="2" width="25.85546875" customWidth="1"/>
    <col min="3" max="3" width="28.85546875" customWidth="1"/>
    <col min="4" max="4" width="15.85546875" customWidth="1"/>
    <col min="5" max="5" width="11.7109375" style="7" customWidth="1"/>
    <col min="6" max="7" width="13.140625" customWidth="1"/>
    <col min="8" max="8" width="12.85546875" customWidth="1"/>
    <col min="9" max="9" width="12.5703125" customWidth="1"/>
    <col min="10" max="12" width="13.140625" customWidth="1"/>
    <col min="13" max="13" width="13.28515625" customWidth="1"/>
    <col min="14" max="14" width="13.140625" customWidth="1"/>
    <col min="15" max="15" width="12.85546875" customWidth="1"/>
    <col min="16" max="16" width="12.7109375" customWidth="1"/>
    <col min="17" max="17" width="12.5703125" customWidth="1"/>
    <col min="18" max="23" width="13.140625" customWidth="1"/>
    <col min="24" max="24" width="12" customWidth="1"/>
    <col min="25" max="25" width="12.7109375" customWidth="1"/>
    <col min="26" max="26" width="13.140625" customWidth="1"/>
    <col min="27" max="27" width="12" customWidth="1"/>
    <col min="28" max="28" width="13.140625" customWidth="1"/>
    <col min="29" max="29" width="12" customWidth="1"/>
    <col min="30" max="30" width="14" bestFit="1" customWidth="1"/>
    <col min="32" max="32" width="17.7109375" bestFit="1" customWidth="1"/>
    <col min="33" max="33" width="16.5703125" bestFit="1" customWidth="1"/>
    <col min="35" max="37" width="13.85546875" bestFit="1" customWidth="1"/>
  </cols>
  <sheetData>
    <row r="1" spans="1:32" ht="15.75" customHeight="1" x14ac:dyDescent="0.25">
      <c r="A1" s="60" t="s">
        <v>51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</row>
    <row r="2" spans="1:32" ht="15.75" customHeight="1" x14ac:dyDescent="0.25">
      <c r="A2" s="61" t="s">
        <v>52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</row>
    <row r="3" spans="1:32" ht="15.75" customHeight="1" x14ac:dyDescent="0.25">
      <c r="A3" s="61" t="s">
        <v>147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  <c r="AC3" s="61"/>
      <c r="AD3" s="61"/>
    </row>
    <row r="4" spans="1:32" x14ac:dyDescent="0.25">
      <c r="A4" s="1"/>
      <c r="B4" s="1"/>
      <c r="C4" s="1"/>
      <c r="D4" s="1"/>
      <c r="E4" s="8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32" x14ac:dyDescent="0.25">
      <c r="A5" s="1" t="s">
        <v>53</v>
      </c>
      <c r="B5" s="1"/>
      <c r="C5" s="1"/>
      <c r="D5" s="1"/>
      <c r="E5" s="8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2" ht="15.75" thickBot="1" x14ac:dyDescent="0.3">
      <c r="A6" s="1"/>
      <c r="B6" s="1"/>
      <c r="C6" s="1"/>
      <c r="D6" s="1"/>
      <c r="E6" s="8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2" ht="24.75" customHeight="1" thickBot="1" x14ac:dyDescent="0.3">
      <c r="A7" s="40" t="s">
        <v>27</v>
      </c>
      <c r="B7" s="41" t="s">
        <v>28</v>
      </c>
      <c r="C7" s="42" t="s">
        <v>54</v>
      </c>
      <c r="D7" s="42" t="s">
        <v>55</v>
      </c>
      <c r="E7" s="43" t="s">
        <v>149</v>
      </c>
      <c r="F7" s="42" t="s">
        <v>189</v>
      </c>
      <c r="G7" s="42" t="s">
        <v>190</v>
      </c>
      <c r="H7" s="42" t="s">
        <v>191</v>
      </c>
      <c r="I7" s="42" t="s">
        <v>225</v>
      </c>
      <c r="J7" s="42" t="s">
        <v>192</v>
      </c>
      <c r="K7" s="42" t="s">
        <v>193</v>
      </c>
      <c r="L7" s="42" t="s">
        <v>194</v>
      </c>
      <c r="M7" s="42" t="s">
        <v>195</v>
      </c>
      <c r="N7" s="42" t="s">
        <v>196</v>
      </c>
      <c r="O7" s="42" t="s">
        <v>197</v>
      </c>
      <c r="P7" s="42" t="s">
        <v>198</v>
      </c>
      <c r="Q7" s="42" t="s">
        <v>199</v>
      </c>
      <c r="R7" s="42" t="s">
        <v>200</v>
      </c>
      <c r="S7" s="42" t="s">
        <v>201</v>
      </c>
      <c r="T7" s="42" t="s">
        <v>202</v>
      </c>
      <c r="U7" s="42" t="s">
        <v>203</v>
      </c>
      <c r="V7" s="44" t="s">
        <v>204</v>
      </c>
      <c r="W7" s="17" t="s">
        <v>205</v>
      </c>
      <c r="X7" s="17" t="s">
        <v>206</v>
      </c>
      <c r="Y7" s="17" t="s">
        <v>207</v>
      </c>
      <c r="Z7" s="17" t="s">
        <v>208</v>
      </c>
      <c r="AA7" s="16" t="s">
        <v>209</v>
      </c>
      <c r="AB7" s="17" t="s">
        <v>210</v>
      </c>
      <c r="AC7" s="17" t="s">
        <v>211</v>
      </c>
      <c r="AD7" s="15" t="s">
        <v>127</v>
      </c>
    </row>
    <row r="8" spans="1:32" s="22" customFormat="1" x14ac:dyDescent="0.25">
      <c r="A8" s="49">
        <v>1</v>
      </c>
      <c r="B8" s="46" t="s">
        <v>31</v>
      </c>
      <c r="C8" s="45" t="s">
        <v>60</v>
      </c>
      <c r="D8" s="47" t="s">
        <v>59</v>
      </c>
      <c r="E8" s="48">
        <v>0</v>
      </c>
      <c r="F8" s="36"/>
      <c r="G8" s="36"/>
      <c r="H8" s="36">
        <f>58474.29+45506.22+14002.99</f>
        <v>117983.50000000001</v>
      </c>
      <c r="I8" s="36">
        <v>58474.29</v>
      </c>
      <c r="J8" s="36"/>
      <c r="K8" s="36">
        <f>59509.21</f>
        <v>59509.21</v>
      </c>
      <c r="L8" s="36">
        <f>87279.77+2100+42610.24+35223.93</f>
        <v>167213.94</v>
      </c>
      <c r="M8" s="36">
        <v>89379.77</v>
      </c>
      <c r="N8" s="36">
        <f>63982.72</f>
        <v>63982.720000000001</v>
      </c>
      <c r="O8" s="36">
        <f>77834.17</f>
        <v>77834.17</v>
      </c>
      <c r="P8" s="36">
        <f>12010.24</f>
        <v>12010.24</v>
      </c>
      <c r="Q8" s="36">
        <v>75992.960000000006</v>
      </c>
      <c r="R8" s="36">
        <f>4010+37458.65</f>
        <v>41468.65</v>
      </c>
      <c r="S8" s="36">
        <v>41468.65</v>
      </c>
      <c r="T8" s="36">
        <f>73677.63+14815.01</f>
        <v>88492.64</v>
      </c>
      <c r="U8" s="36"/>
      <c r="V8" s="36"/>
      <c r="W8" s="36"/>
      <c r="X8" s="36"/>
      <c r="Y8" s="36"/>
      <c r="Z8" s="36"/>
      <c r="AA8" s="36"/>
      <c r="AB8" s="36"/>
      <c r="AC8" s="35"/>
      <c r="AD8" s="53">
        <f t="shared" ref="AD8:AD89" si="0">E8+F8-G8+H8-I8+J8-K8+L8-M8+N8-O8+P8-Q8+R8-S8+T8-U8+V8-W8+X8-Y8+Z8-AA8+AB8-AC8</f>
        <v>88492.640000000014</v>
      </c>
      <c r="AF8" s="23"/>
    </row>
    <row r="9" spans="1:32" x14ac:dyDescent="0.25">
      <c r="A9" s="49">
        <v>2</v>
      </c>
      <c r="B9" s="12" t="s">
        <v>160</v>
      </c>
      <c r="C9" s="24" t="s">
        <v>65</v>
      </c>
      <c r="D9" s="25" t="s">
        <v>59</v>
      </c>
      <c r="E9" s="26">
        <v>25370</v>
      </c>
      <c r="F9" s="27">
        <f>247800+16225</f>
        <v>264025</v>
      </c>
      <c r="G9" s="27">
        <v>273170</v>
      </c>
      <c r="H9" s="27">
        <f>74340+13334+15576+27140</f>
        <v>130390</v>
      </c>
      <c r="I9" s="27">
        <f>90565</f>
        <v>90565</v>
      </c>
      <c r="J9" s="27">
        <f>14602.5</f>
        <v>14602.5</v>
      </c>
      <c r="K9" s="27">
        <f>56050</f>
        <v>56050</v>
      </c>
      <c r="L9" s="27">
        <f>28320+25075+15930+25075</f>
        <v>94400</v>
      </c>
      <c r="M9" s="27">
        <v>67997.5</v>
      </c>
      <c r="N9" s="27">
        <f>102955+36580+17936</f>
        <v>157471</v>
      </c>
      <c r="O9" s="27">
        <v>180540</v>
      </c>
      <c r="P9" s="27">
        <f>23600+7965+47200+7080+20650+12508+16225+9499</f>
        <v>144727</v>
      </c>
      <c r="Q9" s="27">
        <v>49501</v>
      </c>
      <c r="R9" s="27"/>
      <c r="S9" s="27">
        <f>113162</f>
        <v>113162</v>
      </c>
      <c r="T9" s="27">
        <f>23600+10325+9440+9705.5+15623+24780</f>
        <v>93473.5</v>
      </c>
      <c r="U9" s="27">
        <v>53070.5</v>
      </c>
      <c r="V9" s="27"/>
      <c r="W9" s="27"/>
      <c r="X9" s="27"/>
      <c r="Y9" s="27"/>
      <c r="Z9" s="27"/>
      <c r="AA9" s="27"/>
      <c r="AB9" s="27"/>
      <c r="AC9" s="28"/>
      <c r="AD9" s="54">
        <f t="shared" si="0"/>
        <v>40403</v>
      </c>
    </row>
    <row r="10" spans="1:32" x14ac:dyDescent="0.25">
      <c r="A10" s="49">
        <v>3</v>
      </c>
      <c r="B10" s="12" t="s">
        <v>176</v>
      </c>
      <c r="C10" s="24" t="s">
        <v>177</v>
      </c>
      <c r="D10" s="25" t="s">
        <v>138</v>
      </c>
      <c r="E10" s="26">
        <v>29500</v>
      </c>
      <c r="F10" s="27"/>
      <c r="G10" s="27">
        <v>29500</v>
      </c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8"/>
      <c r="AD10" s="54">
        <f t="shared" si="0"/>
        <v>0</v>
      </c>
    </row>
    <row r="11" spans="1:32" x14ac:dyDescent="0.25">
      <c r="A11" s="49">
        <v>4</v>
      </c>
      <c r="B11" s="29" t="s">
        <v>33</v>
      </c>
      <c r="C11" s="24" t="s">
        <v>65</v>
      </c>
      <c r="D11" s="25" t="s">
        <v>59</v>
      </c>
      <c r="E11" s="26">
        <v>71705</v>
      </c>
      <c r="F11" s="27">
        <f>9813+49945.6+25950+70633.2+4023</f>
        <v>160364.79999999999</v>
      </c>
      <c r="G11" s="27">
        <f>131463.6</f>
        <v>131463.6</v>
      </c>
      <c r="H11" s="27">
        <f>15010+20457+29915</f>
        <v>65382</v>
      </c>
      <c r="I11" s="27">
        <v>115616.2</v>
      </c>
      <c r="J11" s="27">
        <f>24300+2200+7475+65846</f>
        <v>99821</v>
      </c>
      <c r="K11" s="27">
        <f>150193</f>
        <v>150193</v>
      </c>
      <c r="L11" s="27">
        <f>22100+79614+7100+40884</f>
        <v>149698</v>
      </c>
      <c r="M11" s="27">
        <v>101714</v>
      </c>
      <c r="N11" s="27">
        <f>76394+22100+2583+15000</f>
        <v>116077</v>
      </c>
      <c r="O11" s="27">
        <f>124378</f>
        <v>124378</v>
      </c>
      <c r="P11" s="27">
        <f>47250+14529+12000+71563</f>
        <v>145342</v>
      </c>
      <c r="Q11" s="27">
        <f>22100+79362</f>
        <v>101462</v>
      </c>
      <c r="R11" s="27">
        <f>62870+27120+6958</f>
        <v>96948</v>
      </c>
      <c r="S11" s="27">
        <f>83563+96948</f>
        <v>180511</v>
      </c>
      <c r="T11" s="27">
        <f>27120+55580</f>
        <v>82700</v>
      </c>
      <c r="U11" s="27">
        <v>82700</v>
      </c>
      <c r="V11" s="27"/>
      <c r="W11" s="27"/>
      <c r="X11" s="27"/>
      <c r="Y11" s="27"/>
      <c r="Z11" s="27"/>
      <c r="AA11" s="27"/>
      <c r="AB11" s="27"/>
      <c r="AC11" s="28"/>
      <c r="AD11" s="54">
        <f t="shared" si="0"/>
        <v>0</v>
      </c>
    </row>
    <row r="12" spans="1:32" x14ac:dyDescent="0.25">
      <c r="A12" s="49">
        <v>5</v>
      </c>
      <c r="B12" s="29" t="s">
        <v>0</v>
      </c>
      <c r="C12" s="24" t="s">
        <v>61</v>
      </c>
      <c r="D12" s="25" t="s">
        <v>59</v>
      </c>
      <c r="E12" s="26">
        <v>0</v>
      </c>
      <c r="F12" s="27">
        <f>625+2810+2450+3750+4180+1825+4725</f>
        <v>20365</v>
      </c>
      <c r="G12" s="27">
        <f>15640</f>
        <v>15640</v>
      </c>
      <c r="H12" s="27">
        <f>4645+4725+4220</f>
        <v>13590</v>
      </c>
      <c r="I12" s="27"/>
      <c r="J12" s="27">
        <f>3475+3355+3435</f>
        <v>10265</v>
      </c>
      <c r="K12" s="27">
        <v>28580</v>
      </c>
      <c r="L12" s="27">
        <f>4725+4700+1530+4210</f>
        <v>15165</v>
      </c>
      <c r="M12" s="27">
        <v>10955</v>
      </c>
      <c r="N12" s="27">
        <f>3405+3225+3315+3045+4345</f>
        <v>17335</v>
      </c>
      <c r="O12" s="27"/>
      <c r="P12" s="27">
        <f>4210+4210+3675+3630</f>
        <v>15725</v>
      </c>
      <c r="Q12" s="27"/>
      <c r="R12" s="27">
        <f>4700+2960+4210+3675+4300</f>
        <v>19845</v>
      </c>
      <c r="S12" s="27">
        <f>49140</f>
        <v>49140</v>
      </c>
      <c r="T12" s="27">
        <f>3450+3495+4665+4050+1200</f>
        <v>16860</v>
      </c>
      <c r="U12" s="27"/>
      <c r="V12" s="27"/>
      <c r="W12" s="27"/>
      <c r="X12" s="27"/>
      <c r="Y12" s="27"/>
      <c r="Z12" s="27"/>
      <c r="AA12" s="27"/>
      <c r="AB12" s="27"/>
      <c r="AC12" s="28"/>
      <c r="AD12" s="54">
        <f t="shared" si="0"/>
        <v>24835</v>
      </c>
    </row>
    <row r="13" spans="1:32" x14ac:dyDescent="0.25">
      <c r="A13" s="49">
        <v>6</v>
      </c>
      <c r="B13" s="29" t="s">
        <v>32</v>
      </c>
      <c r="C13" s="24" t="s">
        <v>63</v>
      </c>
      <c r="D13" s="25" t="s">
        <v>59</v>
      </c>
      <c r="E13" s="26">
        <v>256331.4</v>
      </c>
      <c r="F13" s="27">
        <f>59153.4+98589+78871.2+59153.4+98589+127650.03</f>
        <v>522006.03</v>
      </c>
      <c r="G13" s="27"/>
      <c r="H13" s="27">
        <f>78871.2+118306.8+98589+98589+39435.6+98589-68142.63</f>
        <v>464237.97</v>
      </c>
      <c r="I13" s="27">
        <v>650687.4</v>
      </c>
      <c r="J13" s="27">
        <f>78871.2+78871.2</f>
        <v>157742.39999999999</v>
      </c>
      <c r="K13" s="27">
        <f>749630.4</f>
        <v>749630.4</v>
      </c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8"/>
      <c r="AD13" s="54">
        <f t="shared" si="0"/>
        <v>-1.1641532182693481E-10</v>
      </c>
    </row>
    <row r="14" spans="1:32" x14ac:dyDescent="0.25">
      <c r="A14" s="49">
        <v>7</v>
      </c>
      <c r="B14" s="12" t="s">
        <v>154</v>
      </c>
      <c r="C14" s="24" t="s">
        <v>155</v>
      </c>
      <c r="D14" s="25" t="s">
        <v>59</v>
      </c>
      <c r="E14" s="26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8"/>
      <c r="AD14" s="54">
        <f t="shared" si="0"/>
        <v>0</v>
      </c>
    </row>
    <row r="15" spans="1:32" x14ac:dyDescent="0.25">
      <c r="A15" s="49">
        <v>8</v>
      </c>
      <c r="B15" s="29" t="s">
        <v>29</v>
      </c>
      <c r="C15" s="24" t="s">
        <v>56</v>
      </c>
      <c r="D15" s="25" t="s">
        <v>57</v>
      </c>
      <c r="E15" s="26">
        <v>0</v>
      </c>
      <c r="F15" s="21">
        <f>230317.67+233812.42+202834.96+27210.31-27210.31-202834.96</f>
        <v>464130.09000000008</v>
      </c>
      <c r="G15" s="27">
        <v>464130.09</v>
      </c>
      <c r="H15" s="27">
        <f>209356.13+171266.9</f>
        <v>380623.03</v>
      </c>
      <c r="I15" s="27">
        <v>380623.03</v>
      </c>
      <c r="J15" s="27">
        <f>234918.33+243525.39+50769.73</f>
        <v>529213.44999999995</v>
      </c>
      <c r="K15" s="27">
        <f>234918.33</f>
        <v>234918.33</v>
      </c>
      <c r="L15" s="27">
        <f>212630.27+182952.98+4130+6795.62</f>
        <v>406508.87</v>
      </c>
      <c r="M15" s="27">
        <f>294295.12</f>
        <v>294295.12</v>
      </c>
      <c r="N15" s="27">
        <f>243645.23+243046.47+17037.37</f>
        <v>503729.07</v>
      </c>
      <c r="O15" s="27">
        <f>399713.25+250440.85</f>
        <v>650154.1</v>
      </c>
      <c r="P15" s="27">
        <f>243108.59+244593.8+4475.33</f>
        <v>492177.72000000003</v>
      </c>
      <c r="Q15" s="27">
        <f>260083.84+487702.39</f>
        <v>747786.23</v>
      </c>
      <c r="R15" s="27">
        <f>170691+236299.84+158059.4</f>
        <v>565050.24</v>
      </c>
      <c r="S15" s="27">
        <f>406990.84+162534.73</f>
        <v>569525.57000000007</v>
      </c>
      <c r="T15" s="27">
        <f>128606.47+240003.08+239125.89+11797.92</f>
        <v>619533.36</v>
      </c>
      <c r="U15" s="27">
        <f>607735.44+11797.92</f>
        <v>619533.36</v>
      </c>
      <c r="V15" s="27"/>
      <c r="W15" s="27"/>
      <c r="X15" s="27"/>
      <c r="Y15" s="27"/>
      <c r="Z15" s="27"/>
      <c r="AA15" s="27"/>
      <c r="AB15" s="27"/>
      <c r="AC15" s="28"/>
      <c r="AD15" s="54">
        <f t="shared" si="0"/>
        <v>0</v>
      </c>
    </row>
    <row r="16" spans="1:32" x14ac:dyDescent="0.25">
      <c r="A16" s="49">
        <v>9</v>
      </c>
      <c r="B16" s="29" t="s">
        <v>30</v>
      </c>
      <c r="C16" s="24" t="s">
        <v>58</v>
      </c>
      <c r="D16" s="25" t="s">
        <v>59</v>
      </c>
      <c r="E16" s="26">
        <v>2300</v>
      </c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8"/>
      <c r="AD16" s="54">
        <f t="shared" si="0"/>
        <v>2300</v>
      </c>
    </row>
    <row r="17" spans="1:30" x14ac:dyDescent="0.25">
      <c r="A17" s="49">
        <v>10</v>
      </c>
      <c r="B17" s="29" t="s">
        <v>262</v>
      </c>
      <c r="C17" s="24" t="s">
        <v>187</v>
      </c>
      <c r="D17" s="25" t="s">
        <v>59</v>
      </c>
      <c r="E17" s="26"/>
      <c r="F17" s="27"/>
      <c r="G17" s="27"/>
      <c r="H17" s="27"/>
      <c r="I17" s="27"/>
      <c r="J17" s="27"/>
      <c r="K17" s="27"/>
      <c r="L17" s="27"/>
      <c r="M17" s="27"/>
      <c r="N17" s="27">
        <v>106575</v>
      </c>
      <c r="O17" s="27">
        <v>106575</v>
      </c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8"/>
      <c r="AD17" s="54">
        <f t="shared" si="0"/>
        <v>0</v>
      </c>
    </row>
    <row r="18" spans="1:30" x14ac:dyDescent="0.25">
      <c r="A18" s="49">
        <v>11</v>
      </c>
      <c r="B18" s="29" t="s">
        <v>265</v>
      </c>
      <c r="C18" s="24" t="s">
        <v>65</v>
      </c>
      <c r="D18" s="25" t="s">
        <v>59</v>
      </c>
      <c r="E18" s="26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>
        <v>222800</v>
      </c>
      <c r="Q18" s="27">
        <v>222800</v>
      </c>
      <c r="R18" s="27">
        <f>81430</f>
        <v>81430</v>
      </c>
      <c r="S18" s="27">
        <f>81430</f>
        <v>81430</v>
      </c>
      <c r="T18" s="27"/>
      <c r="U18" s="27"/>
      <c r="V18" s="27"/>
      <c r="W18" s="27"/>
      <c r="X18" s="27"/>
      <c r="Y18" s="27"/>
      <c r="Z18" s="27"/>
      <c r="AA18" s="27"/>
      <c r="AB18" s="27"/>
      <c r="AC18" s="28"/>
      <c r="AD18" s="54">
        <f t="shared" si="0"/>
        <v>0</v>
      </c>
    </row>
    <row r="19" spans="1:30" x14ac:dyDescent="0.25">
      <c r="A19" s="49">
        <v>12</v>
      </c>
      <c r="B19" s="12" t="s">
        <v>98</v>
      </c>
      <c r="C19" s="24" t="s">
        <v>99</v>
      </c>
      <c r="D19" s="25" t="s">
        <v>59</v>
      </c>
      <c r="E19" s="26">
        <v>0</v>
      </c>
      <c r="F19" s="27">
        <v>99039.65</v>
      </c>
      <c r="G19" s="27">
        <v>99039.65</v>
      </c>
      <c r="H19" s="27">
        <f>98997.45</f>
        <v>98997.45</v>
      </c>
      <c r="I19" s="27">
        <v>98997.45</v>
      </c>
      <c r="J19" s="27">
        <v>156497.82</v>
      </c>
      <c r="K19" s="27">
        <f>156497.82</f>
        <v>156497.82</v>
      </c>
      <c r="L19" s="27">
        <f>104534.84</f>
        <v>104534.84</v>
      </c>
      <c r="M19" s="27">
        <v>104534.84</v>
      </c>
      <c r="N19" s="27">
        <f>93726.75</f>
        <v>93726.75</v>
      </c>
      <c r="O19" s="27">
        <v>93726.75</v>
      </c>
      <c r="P19" s="27">
        <f>93734.55</f>
        <v>93734.55</v>
      </c>
      <c r="Q19" s="27">
        <v>93734.55</v>
      </c>
      <c r="R19" s="27">
        <f>120786.62</f>
        <v>120786.62</v>
      </c>
      <c r="S19" s="27">
        <v>120786.62</v>
      </c>
      <c r="T19" s="27">
        <f>101793.04</f>
        <v>101793.04</v>
      </c>
      <c r="U19" s="27">
        <v>101793.04</v>
      </c>
      <c r="V19" s="27"/>
      <c r="W19" s="27"/>
      <c r="X19" s="27"/>
      <c r="Y19" s="27"/>
      <c r="Z19" s="27"/>
      <c r="AA19" s="27"/>
      <c r="AB19" s="27"/>
      <c r="AC19" s="28"/>
      <c r="AD19" s="54">
        <f t="shared" si="0"/>
        <v>0</v>
      </c>
    </row>
    <row r="20" spans="1:30" x14ac:dyDescent="0.25">
      <c r="A20" s="49">
        <v>13</v>
      </c>
      <c r="B20" s="12" t="s">
        <v>289</v>
      </c>
      <c r="C20" s="24" t="s">
        <v>290</v>
      </c>
      <c r="D20" s="25" t="s">
        <v>59</v>
      </c>
      <c r="E20" s="26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>
        <v>4050</v>
      </c>
      <c r="S20" s="27">
        <v>4050</v>
      </c>
      <c r="T20" s="27"/>
      <c r="U20" s="27"/>
      <c r="V20" s="27"/>
      <c r="W20" s="27"/>
      <c r="X20" s="27"/>
      <c r="Y20" s="27"/>
      <c r="Z20" s="27"/>
      <c r="AA20" s="27"/>
      <c r="AB20" s="27"/>
      <c r="AC20" s="28"/>
      <c r="AD20" s="54">
        <f t="shared" si="0"/>
        <v>0</v>
      </c>
    </row>
    <row r="21" spans="1:30" x14ac:dyDescent="0.25">
      <c r="A21" s="49">
        <v>14</v>
      </c>
      <c r="B21" s="29" t="s">
        <v>122</v>
      </c>
      <c r="C21" s="24" t="s">
        <v>123</v>
      </c>
      <c r="D21" s="25" t="s">
        <v>59</v>
      </c>
      <c r="E21" s="26">
        <v>0</v>
      </c>
      <c r="F21" s="27"/>
      <c r="G21" s="27"/>
      <c r="H21" s="27"/>
      <c r="I21" s="27"/>
      <c r="J21" s="27">
        <f>399999.99</f>
        <v>399999.99</v>
      </c>
      <c r="K21" s="27">
        <v>100000</v>
      </c>
      <c r="L21" s="27"/>
      <c r="M21" s="27">
        <v>200000</v>
      </c>
      <c r="N21" s="27"/>
      <c r="O21" s="27">
        <f>99999.99</f>
        <v>99999.99</v>
      </c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8"/>
      <c r="AD21" s="54">
        <f t="shared" si="0"/>
        <v>-1.4551915228366852E-11</v>
      </c>
    </row>
    <row r="22" spans="1:30" x14ac:dyDescent="0.25">
      <c r="A22" s="49">
        <v>15</v>
      </c>
      <c r="B22" s="29" t="s">
        <v>1</v>
      </c>
      <c r="C22" s="24" t="s">
        <v>64</v>
      </c>
      <c r="D22" s="25" t="s">
        <v>59</v>
      </c>
      <c r="E22" s="26">
        <v>0</v>
      </c>
      <c r="F22" s="27">
        <f>2200</f>
        <v>2200</v>
      </c>
      <c r="G22" s="27">
        <v>2200</v>
      </c>
      <c r="H22" s="27">
        <f>10700+11050</f>
        <v>21750</v>
      </c>
      <c r="I22" s="27">
        <v>10700</v>
      </c>
      <c r="J22" s="27">
        <f>49770</f>
        <v>49770</v>
      </c>
      <c r="K22" s="27">
        <f>60820</f>
        <v>60820</v>
      </c>
      <c r="L22" s="27">
        <f>144000+2525+15600</f>
        <v>162125</v>
      </c>
      <c r="M22" s="27">
        <v>146525</v>
      </c>
      <c r="N22" s="27">
        <f>27170</f>
        <v>27170</v>
      </c>
      <c r="O22" s="27">
        <f>15600</f>
        <v>15600</v>
      </c>
      <c r="P22" s="27"/>
      <c r="Q22" s="27">
        <f>27170</f>
        <v>27170</v>
      </c>
      <c r="R22" s="27">
        <f>75850</f>
        <v>75850</v>
      </c>
      <c r="S22" s="27">
        <v>75850</v>
      </c>
      <c r="T22" s="27">
        <f>14900</f>
        <v>14900</v>
      </c>
      <c r="U22" s="27"/>
      <c r="V22" s="27"/>
      <c r="W22" s="27"/>
      <c r="X22" s="27"/>
      <c r="Y22" s="27"/>
      <c r="Z22" s="27"/>
      <c r="AA22" s="27"/>
      <c r="AB22" s="27"/>
      <c r="AC22" s="28"/>
      <c r="AD22" s="54">
        <f t="shared" si="0"/>
        <v>14900</v>
      </c>
    </row>
    <row r="23" spans="1:30" x14ac:dyDescent="0.25">
      <c r="A23" s="49">
        <v>16</v>
      </c>
      <c r="B23" s="29" t="s">
        <v>168</v>
      </c>
      <c r="C23" s="24" t="s">
        <v>62</v>
      </c>
      <c r="D23" s="25" t="s">
        <v>169</v>
      </c>
      <c r="E23" s="26"/>
      <c r="F23" s="27"/>
      <c r="G23" s="27"/>
      <c r="H23" s="27">
        <f>36917.2</f>
        <v>36917.199999999997</v>
      </c>
      <c r="I23" s="27">
        <v>36917.199999999997</v>
      </c>
      <c r="J23" s="27"/>
      <c r="K23" s="27"/>
      <c r="L23" s="27">
        <f>41440</f>
        <v>41440</v>
      </c>
      <c r="M23" s="27">
        <v>41440</v>
      </c>
      <c r="N23" s="27">
        <f>60935.24</f>
        <v>60935.24</v>
      </c>
      <c r="O23" s="27">
        <f>60935.24</f>
        <v>60935.24</v>
      </c>
      <c r="P23" s="27">
        <v>16992</v>
      </c>
      <c r="Q23" s="27">
        <f>16992</f>
        <v>16992</v>
      </c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8"/>
      <c r="AD23" s="54">
        <f t="shared" si="0"/>
        <v>0</v>
      </c>
    </row>
    <row r="24" spans="1:30" x14ac:dyDescent="0.25">
      <c r="A24" s="49">
        <v>17</v>
      </c>
      <c r="B24" s="29" t="s">
        <v>174</v>
      </c>
      <c r="C24" s="24" t="s">
        <v>175</v>
      </c>
      <c r="D24" s="25" t="s">
        <v>59</v>
      </c>
      <c r="E24" s="26"/>
      <c r="F24" s="27">
        <f>80830</f>
        <v>80830</v>
      </c>
      <c r="G24" s="27">
        <v>80830</v>
      </c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8"/>
      <c r="AD24" s="54">
        <f t="shared" si="0"/>
        <v>0</v>
      </c>
    </row>
    <row r="25" spans="1:30" x14ac:dyDescent="0.25">
      <c r="A25" s="49">
        <v>18</v>
      </c>
      <c r="B25" s="12" t="s">
        <v>34</v>
      </c>
      <c r="C25" s="24" t="s">
        <v>66</v>
      </c>
      <c r="D25" s="25" t="s">
        <v>57</v>
      </c>
      <c r="E25" s="26">
        <v>9000</v>
      </c>
      <c r="F25" s="27"/>
      <c r="G25" s="27"/>
      <c r="H25" s="27">
        <v>30000</v>
      </c>
      <c r="I25" s="27">
        <v>39000</v>
      </c>
      <c r="J25" s="27"/>
      <c r="K25" s="27"/>
      <c r="L25" s="27"/>
      <c r="M25" s="27"/>
      <c r="N25" s="27"/>
      <c r="O25" s="27"/>
      <c r="P25" s="27">
        <v>3000</v>
      </c>
      <c r="Q25" s="27">
        <v>3000</v>
      </c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8"/>
      <c r="AD25" s="54">
        <f t="shared" si="0"/>
        <v>0</v>
      </c>
    </row>
    <row r="26" spans="1:30" x14ac:dyDescent="0.25">
      <c r="A26" s="49">
        <v>19</v>
      </c>
      <c r="B26" s="12" t="s">
        <v>248</v>
      </c>
      <c r="C26" s="24" t="s">
        <v>250</v>
      </c>
      <c r="D26" s="25" t="s">
        <v>59</v>
      </c>
      <c r="E26" s="26"/>
      <c r="F26" s="27"/>
      <c r="G26" s="27"/>
      <c r="H26" s="27"/>
      <c r="I26" s="27"/>
      <c r="J26" s="27"/>
      <c r="K26" s="27"/>
      <c r="L26" s="27">
        <v>32000</v>
      </c>
      <c r="M26" s="27">
        <v>32000</v>
      </c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8"/>
      <c r="AD26" s="54">
        <f t="shared" si="0"/>
        <v>0</v>
      </c>
    </row>
    <row r="27" spans="1:30" x14ac:dyDescent="0.25">
      <c r="A27" s="49">
        <v>20</v>
      </c>
      <c r="B27" s="12" t="s">
        <v>285</v>
      </c>
      <c r="C27" s="24" t="s">
        <v>286</v>
      </c>
      <c r="D27" s="25" t="s">
        <v>59</v>
      </c>
      <c r="E27" s="26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>
        <v>78706</v>
      </c>
      <c r="S27" s="27">
        <f>78706</f>
        <v>78706</v>
      </c>
      <c r="T27" s="27"/>
      <c r="U27" s="27"/>
      <c r="V27" s="27"/>
      <c r="W27" s="27"/>
      <c r="X27" s="27"/>
      <c r="Y27" s="27"/>
      <c r="Z27" s="27"/>
      <c r="AA27" s="27"/>
      <c r="AB27" s="27"/>
      <c r="AC27" s="28"/>
      <c r="AD27" s="54">
        <f t="shared" si="0"/>
        <v>0</v>
      </c>
    </row>
    <row r="28" spans="1:30" x14ac:dyDescent="0.25">
      <c r="A28" s="49">
        <v>21</v>
      </c>
      <c r="B28" s="29" t="s">
        <v>35</v>
      </c>
      <c r="C28" s="24" t="s">
        <v>67</v>
      </c>
      <c r="D28" s="25" t="s">
        <v>59</v>
      </c>
      <c r="E28" s="26">
        <v>0</v>
      </c>
      <c r="F28" s="27"/>
      <c r="G28" s="27"/>
      <c r="H28" s="27">
        <f>154065.2</f>
        <v>154065.20000000001</v>
      </c>
      <c r="I28" s="27">
        <v>154065.20000000001</v>
      </c>
      <c r="J28" s="27">
        <f>43243+4602</f>
        <v>47845</v>
      </c>
      <c r="K28" s="27">
        <f>47845</f>
        <v>47845</v>
      </c>
      <c r="L28" s="27">
        <f>83892</f>
        <v>83892</v>
      </c>
      <c r="M28" s="27">
        <f>83892</f>
        <v>83892</v>
      </c>
      <c r="N28" s="27">
        <f>95272.3</f>
        <v>95272.3</v>
      </c>
      <c r="O28" s="27"/>
      <c r="P28" s="27">
        <f>24123.7</f>
        <v>24123.7</v>
      </c>
      <c r="Q28" s="27">
        <f>119396</f>
        <v>119396</v>
      </c>
      <c r="R28" s="27">
        <f>30669</f>
        <v>30669</v>
      </c>
      <c r="S28" s="27">
        <v>30669</v>
      </c>
      <c r="T28" s="27">
        <f>34826.3</f>
        <v>34826.300000000003</v>
      </c>
      <c r="U28" s="27">
        <f>34826.3</f>
        <v>34826.300000000003</v>
      </c>
      <c r="V28" s="27"/>
      <c r="W28" s="27"/>
      <c r="X28" s="27"/>
      <c r="Y28" s="27"/>
      <c r="Z28" s="27"/>
      <c r="AA28" s="27"/>
      <c r="AB28" s="27"/>
      <c r="AC28" s="28"/>
      <c r="AD28" s="54">
        <f t="shared" si="0"/>
        <v>0</v>
      </c>
    </row>
    <row r="29" spans="1:30" x14ac:dyDescent="0.25">
      <c r="A29" s="49">
        <v>22</v>
      </c>
      <c r="B29" s="29" t="s">
        <v>2</v>
      </c>
      <c r="C29" s="24" t="s">
        <v>56</v>
      </c>
      <c r="D29" s="25" t="s">
        <v>57</v>
      </c>
      <c r="E29" s="26">
        <v>42001.32</v>
      </c>
      <c r="F29" s="27">
        <f>94248.05+149542.9</f>
        <v>243790.95</v>
      </c>
      <c r="G29" s="27">
        <f>285792.27</f>
        <v>285792.27</v>
      </c>
      <c r="H29" s="27">
        <f>100048</f>
        <v>100048</v>
      </c>
      <c r="I29" s="27">
        <v>100048</v>
      </c>
      <c r="J29" s="27">
        <f>185775.2</f>
        <v>185775.2</v>
      </c>
      <c r="K29" s="27">
        <f>185775.2</f>
        <v>185775.2</v>
      </c>
      <c r="L29" s="27">
        <f>247475.15+78627.9</f>
        <v>326103.05</v>
      </c>
      <c r="M29" s="27">
        <f>247475.15</f>
        <v>247475.15</v>
      </c>
      <c r="N29" s="27">
        <f>206991.2</f>
        <v>206991.2</v>
      </c>
      <c r="O29" s="27">
        <f>78627.9+206991.2</f>
        <v>285619.09999999998</v>
      </c>
      <c r="P29" s="27">
        <f>211484+12234.72</f>
        <v>223718.72</v>
      </c>
      <c r="Q29" s="27">
        <v>211484</v>
      </c>
      <c r="R29" s="27">
        <v>139925.5</v>
      </c>
      <c r="S29" s="27">
        <f>152160.22</f>
        <v>152160.22</v>
      </c>
      <c r="T29" s="27">
        <f>238261.4-13500.5+13500.5+21073</f>
        <v>259334.39999999999</v>
      </c>
      <c r="U29" s="27">
        <v>238261.4</v>
      </c>
      <c r="V29" s="27"/>
      <c r="W29" s="27"/>
      <c r="X29" s="27"/>
      <c r="Y29" s="27"/>
      <c r="Z29" s="27"/>
      <c r="AA29" s="27"/>
      <c r="AB29" s="27"/>
      <c r="AC29" s="28"/>
      <c r="AD29" s="54">
        <f t="shared" si="0"/>
        <v>21073</v>
      </c>
    </row>
    <row r="30" spans="1:30" x14ac:dyDescent="0.25">
      <c r="A30" s="49">
        <v>23</v>
      </c>
      <c r="B30" s="29" t="s">
        <v>280</v>
      </c>
      <c r="C30" s="24" t="s">
        <v>281</v>
      </c>
      <c r="D30" s="25" t="s">
        <v>59</v>
      </c>
      <c r="E30" s="26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>
        <v>6460.5</v>
      </c>
      <c r="S30" s="27">
        <f>6460.5</f>
        <v>6460.5</v>
      </c>
      <c r="T30" s="27"/>
      <c r="U30" s="27"/>
      <c r="V30" s="27"/>
      <c r="W30" s="27"/>
      <c r="X30" s="27"/>
      <c r="Y30" s="27"/>
      <c r="Z30" s="27"/>
      <c r="AA30" s="27"/>
      <c r="AB30" s="27"/>
      <c r="AC30" s="28"/>
      <c r="AD30" s="54">
        <f t="shared" si="0"/>
        <v>0</v>
      </c>
    </row>
    <row r="31" spans="1:30" x14ac:dyDescent="0.25">
      <c r="A31" s="49">
        <v>24</v>
      </c>
      <c r="B31" s="29" t="s">
        <v>158</v>
      </c>
      <c r="C31" s="24" t="s">
        <v>159</v>
      </c>
      <c r="D31" s="25" t="s">
        <v>59</v>
      </c>
      <c r="E31" s="26">
        <v>0</v>
      </c>
      <c r="F31" s="27"/>
      <c r="G31" s="27"/>
      <c r="H31" s="27"/>
      <c r="I31" s="27"/>
      <c r="J31" s="27"/>
      <c r="K31" s="27"/>
      <c r="L31" s="27"/>
      <c r="M31" s="27"/>
      <c r="N31" s="27">
        <v>103747.58</v>
      </c>
      <c r="O31" s="27">
        <v>103747.58</v>
      </c>
      <c r="P31" s="27"/>
      <c r="Q31" s="27"/>
      <c r="R31" s="27"/>
      <c r="S31" s="27"/>
      <c r="T31" s="27">
        <f>26066.2</f>
        <v>26066.2</v>
      </c>
      <c r="U31" s="27"/>
      <c r="V31" s="27"/>
      <c r="W31" s="27"/>
      <c r="X31" s="27"/>
      <c r="Y31" s="27"/>
      <c r="Z31" s="27"/>
      <c r="AA31" s="27"/>
      <c r="AB31" s="27"/>
      <c r="AC31" s="28"/>
      <c r="AD31" s="54">
        <f t="shared" si="0"/>
        <v>26066.2</v>
      </c>
    </row>
    <row r="32" spans="1:30" x14ac:dyDescent="0.25">
      <c r="A32" s="49">
        <v>25</v>
      </c>
      <c r="B32" s="29" t="s">
        <v>106</v>
      </c>
      <c r="C32" s="24" t="s">
        <v>107</v>
      </c>
      <c r="D32" s="25" t="s">
        <v>59</v>
      </c>
      <c r="E32" s="26">
        <v>0</v>
      </c>
      <c r="F32" s="27">
        <f>16085</f>
        <v>16085</v>
      </c>
      <c r="G32" s="27"/>
      <c r="H32" s="27">
        <f>22805+16000-7350</f>
        <v>31455</v>
      </c>
      <c r="I32" s="27"/>
      <c r="J32" s="27"/>
      <c r="K32" s="27"/>
      <c r="L32" s="27">
        <f>3750</f>
        <v>3750</v>
      </c>
      <c r="M32" s="27">
        <f>47540</f>
        <v>47540</v>
      </c>
      <c r="N32" s="27">
        <f>21100</f>
        <v>21100</v>
      </c>
      <c r="O32" s="27">
        <v>3750</v>
      </c>
      <c r="P32" s="27">
        <f>11100</f>
        <v>11100</v>
      </c>
      <c r="Q32" s="27">
        <v>32200</v>
      </c>
      <c r="R32" s="27">
        <f>38935</f>
        <v>38935</v>
      </c>
      <c r="S32" s="27">
        <v>38935</v>
      </c>
      <c r="T32" s="27">
        <f>27205+485</f>
        <v>27690</v>
      </c>
      <c r="U32" s="27">
        <f>27690</f>
        <v>27690</v>
      </c>
      <c r="V32" s="27"/>
      <c r="W32" s="27"/>
      <c r="X32" s="27"/>
      <c r="Y32" s="27"/>
      <c r="Z32" s="27"/>
      <c r="AA32" s="27"/>
      <c r="AB32" s="27"/>
      <c r="AC32" s="28"/>
      <c r="AD32" s="54">
        <f t="shared" si="0"/>
        <v>0</v>
      </c>
    </row>
    <row r="33" spans="1:32" x14ac:dyDescent="0.25">
      <c r="A33" s="49">
        <v>26</v>
      </c>
      <c r="B33" s="29" t="s">
        <v>245</v>
      </c>
      <c r="C33" s="24" t="s">
        <v>237</v>
      </c>
      <c r="D33" s="25" t="s">
        <v>59</v>
      </c>
      <c r="E33" s="26"/>
      <c r="F33" s="27"/>
      <c r="G33" s="27"/>
      <c r="H33" s="27">
        <v>42426.400000000001</v>
      </c>
      <c r="I33" s="27"/>
      <c r="J33" s="27"/>
      <c r="K33" s="27">
        <f>42426.4</f>
        <v>42426.400000000001</v>
      </c>
      <c r="L33" s="27">
        <f>18078.37</f>
        <v>18078.37</v>
      </c>
      <c r="M33" s="27">
        <f>18078.37</f>
        <v>18078.37</v>
      </c>
      <c r="N33" s="27">
        <f>135819.89+16491.55</f>
        <v>152311.44</v>
      </c>
      <c r="O33" s="27"/>
      <c r="P33" s="27">
        <f>653.85</f>
        <v>653.85</v>
      </c>
      <c r="Q33" s="27">
        <f>152965.29</f>
        <v>152965.29</v>
      </c>
      <c r="R33" s="27">
        <f>15342.93+19794.69</f>
        <v>35137.619999999995</v>
      </c>
      <c r="S33" s="27">
        <v>35137.620000000003</v>
      </c>
      <c r="T33" s="27"/>
      <c r="U33" s="27"/>
      <c r="V33" s="27"/>
      <c r="W33" s="27"/>
      <c r="X33" s="27"/>
      <c r="Y33" s="27"/>
      <c r="Z33" s="27"/>
      <c r="AA33" s="27"/>
      <c r="AB33" s="27"/>
      <c r="AC33" s="28"/>
      <c r="AD33" s="54">
        <f t="shared" si="0"/>
        <v>-7.2759576141834259E-12</v>
      </c>
    </row>
    <row r="34" spans="1:32" x14ac:dyDescent="0.25">
      <c r="A34" s="49">
        <v>27</v>
      </c>
      <c r="B34" s="29" t="s">
        <v>36</v>
      </c>
      <c r="C34" s="24" t="s">
        <v>69</v>
      </c>
      <c r="D34" s="25" t="s">
        <v>59</v>
      </c>
      <c r="E34" s="26">
        <v>0</v>
      </c>
      <c r="F34" s="27">
        <f>109428</f>
        <v>109428</v>
      </c>
      <c r="G34" s="27">
        <f>109428</f>
        <v>109428</v>
      </c>
      <c r="H34" s="27">
        <f>51993.16</f>
        <v>51993.16</v>
      </c>
      <c r="I34" s="27">
        <v>51993.16</v>
      </c>
      <c r="J34" s="27"/>
      <c r="K34" s="27"/>
      <c r="L34" s="27">
        <f>65490</f>
        <v>65490</v>
      </c>
      <c r="M34" s="27">
        <f>65490</f>
        <v>65490</v>
      </c>
      <c r="N34" s="27">
        <f>22420+2324.6</f>
        <v>24744.6</v>
      </c>
      <c r="O34" s="27"/>
      <c r="P34" s="27"/>
      <c r="Q34" s="27">
        <v>24744.6</v>
      </c>
      <c r="R34" s="27">
        <f>29500</f>
        <v>29500</v>
      </c>
      <c r="S34" s="27">
        <v>29500</v>
      </c>
      <c r="T34" s="27">
        <f>56350</f>
        <v>56350</v>
      </c>
      <c r="U34" s="27">
        <v>56350</v>
      </c>
      <c r="V34" s="27"/>
      <c r="W34" s="27"/>
      <c r="X34" s="27"/>
      <c r="Y34" s="27"/>
      <c r="Z34" s="27"/>
      <c r="AA34" s="27"/>
      <c r="AB34" s="30"/>
      <c r="AC34" s="52"/>
      <c r="AD34" s="54">
        <f t="shared" si="0"/>
        <v>0</v>
      </c>
    </row>
    <row r="35" spans="1:32" x14ac:dyDescent="0.25">
      <c r="A35" s="49">
        <v>28</v>
      </c>
      <c r="B35" s="29" t="s">
        <v>223</v>
      </c>
      <c r="C35" s="24" t="s">
        <v>65</v>
      </c>
      <c r="D35" s="25" t="s">
        <v>59</v>
      </c>
      <c r="E35" s="26">
        <v>0</v>
      </c>
      <c r="F35" s="27"/>
      <c r="G35" s="27"/>
      <c r="H35" s="27">
        <v>113719.02</v>
      </c>
      <c r="I35" s="27">
        <v>113719.02</v>
      </c>
      <c r="J35" s="27">
        <f>29318+43081.43</f>
        <v>72399.429999999993</v>
      </c>
      <c r="K35" s="27">
        <f>72399.43</f>
        <v>72399.429999999993</v>
      </c>
      <c r="L35" s="27"/>
      <c r="M35" s="27"/>
      <c r="N35" s="27">
        <f>25360</f>
        <v>25360</v>
      </c>
      <c r="O35" s="27">
        <v>25360</v>
      </c>
      <c r="P35" s="27">
        <f>45559.56</f>
        <v>45559.56</v>
      </c>
      <c r="Q35" s="27">
        <v>45559.56</v>
      </c>
      <c r="R35" s="27">
        <f>51005.65+8320+6290</f>
        <v>65615.649999999994</v>
      </c>
      <c r="S35" s="27">
        <f>59325.65</f>
        <v>59325.65</v>
      </c>
      <c r="T35" s="27">
        <f>57975.65</f>
        <v>57975.65</v>
      </c>
      <c r="U35" s="27">
        <v>64265.65</v>
      </c>
      <c r="V35" s="27"/>
      <c r="W35" s="27"/>
      <c r="X35" s="27"/>
      <c r="Y35" s="27"/>
      <c r="Z35" s="27"/>
      <c r="AA35" s="27"/>
      <c r="AB35" s="30"/>
      <c r="AC35" s="52"/>
      <c r="AD35" s="54">
        <f t="shared" si="0"/>
        <v>-7.2759576141834259E-12</v>
      </c>
    </row>
    <row r="36" spans="1:32" x14ac:dyDescent="0.25">
      <c r="A36" s="49">
        <v>29</v>
      </c>
      <c r="B36" s="29" t="s">
        <v>161</v>
      </c>
      <c r="C36" s="24" t="s">
        <v>164</v>
      </c>
      <c r="D36" s="25" t="s">
        <v>59</v>
      </c>
      <c r="E36" s="26">
        <v>0</v>
      </c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8"/>
      <c r="AD36" s="54">
        <f t="shared" si="0"/>
        <v>0</v>
      </c>
    </row>
    <row r="37" spans="1:32" x14ac:dyDescent="0.25">
      <c r="A37" s="49">
        <v>30</v>
      </c>
      <c r="B37" s="29" t="s">
        <v>3</v>
      </c>
      <c r="C37" s="24" t="s">
        <v>68</v>
      </c>
      <c r="D37" s="25" t="s">
        <v>59</v>
      </c>
      <c r="E37" s="26">
        <v>62121.25</v>
      </c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8"/>
      <c r="AD37" s="54">
        <f t="shared" si="0"/>
        <v>62121.25</v>
      </c>
    </row>
    <row r="38" spans="1:32" x14ac:dyDescent="0.25">
      <c r="A38" s="49">
        <v>31</v>
      </c>
      <c r="B38" s="29" t="s">
        <v>183</v>
      </c>
      <c r="C38" s="24" t="s">
        <v>184</v>
      </c>
      <c r="D38" s="25" t="s">
        <v>59</v>
      </c>
      <c r="E38" s="26">
        <v>135582</v>
      </c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8"/>
      <c r="AD38" s="54">
        <f t="shared" si="0"/>
        <v>135582</v>
      </c>
    </row>
    <row r="39" spans="1:32" x14ac:dyDescent="0.25">
      <c r="A39" s="49">
        <v>32</v>
      </c>
      <c r="B39" s="29" t="s">
        <v>4</v>
      </c>
      <c r="C39" s="24" t="s">
        <v>62</v>
      </c>
      <c r="D39" s="25" t="s">
        <v>59</v>
      </c>
      <c r="E39" s="26">
        <v>9234</v>
      </c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8"/>
      <c r="AD39" s="54">
        <f t="shared" si="0"/>
        <v>9234</v>
      </c>
      <c r="AF39" s="2"/>
    </row>
    <row r="40" spans="1:32" x14ac:dyDescent="0.25">
      <c r="A40" s="49">
        <v>33</v>
      </c>
      <c r="B40" s="29" t="s">
        <v>5</v>
      </c>
      <c r="C40" s="24" t="s">
        <v>71</v>
      </c>
      <c r="D40" s="25" t="s">
        <v>59</v>
      </c>
      <c r="E40" s="26">
        <v>8000</v>
      </c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8"/>
      <c r="AD40" s="54">
        <f t="shared" si="0"/>
        <v>8000</v>
      </c>
    </row>
    <row r="41" spans="1:32" x14ac:dyDescent="0.25">
      <c r="A41" s="49">
        <v>34</v>
      </c>
      <c r="B41" s="38" t="s">
        <v>144</v>
      </c>
      <c r="C41" s="24" t="s">
        <v>70</v>
      </c>
      <c r="D41" s="25" t="s">
        <v>57</v>
      </c>
      <c r="E41" s="26">
        <v>532704</v>
      </c>
      <c r="F41" s="27">
        <v>578067</v>
      </c>
      <c r="G41" s="27">
        <f>532704</f>
        <v>532704</v>
      </c>
      <c r="H41" s="27">
        <v>536585</v>
      </c>
      <c r="I41" s="27">
        <v>578067</v>
      </c>
      <c r="J41" s="27">
        <v>502275</v>
      </c>
      <c r="K41" s="27">
        <f>536585</f>
        <v>536585</v>
      </c>
      <c r="L41" s="27">
        <f>520005</f>
        <v>520005</v>
      </c>
      <c r="M41" s="27">
        <f>502275</f>
        <v>502275</v>
      </c>
      <c r="N41" s="27">
        <v>623248</v>
      </c>
      <c r="O41" s="27">
        <v>520005</v>
      </c>
      <c r="P41" s="27">
        <v>797727</v>
      </c>
      <c r="Q41" s="27">
        <v>623248</v>
      </c>
      <c r="R41" s="27">
        <v>820580</v>
      </c>
      <c r="S41" s="27">
        <v>797727</v>
      </c>
      <c r="T41" s="27">
        <f>50+705140</f>
        <v>705190</v>
      </c>
      <c r="U41" s="27">
        <v>820630</v>
      </c>
      <c r="V41" s="27"/>
      <c r="W41" s="27"/>
      <c r="X41" s="27"/>
      <c r="Y41" s="27"/>
      <c r="Z41" s="27"/>
      <c r="AA41" s="27"/>
      <c r="AB41" s="27"/>
      <c r="AC41" s="28"/>
      <c r="AD41" s="54">
        <f t="shared" si="0"/>
        <v>705140</v>
      </c>
    </row>
    <row r="42" spans="1:32" x14ac:dyDescent="0.25">
      <c r="A42" s="49">
        <v>35</v>
      </c>
      <c r="B42" s="38" t="s">
        <v>151</v>
      </c>
      <c r="C42" s="24" t="s">
        <v>152</v>
      </c>
      <c r="D42" s="25" t="s">
        <v>59</v>
      </c>
      <c r="E42" s="26">
        <v>0</v>
      </c>
      <c r="F42" s="27"/>
      <c r="G42" s="27"/>
      <c r="H42" s="27"/>
      <c r="I42" s="27"/>
      <c r="J42" s="27"/>
      <c r="K42" s="27"/>
      <c r="L42" s="27">
        <f>131829.6</f>
        <v>131829.6</v>
      </c>
      <c r="M42" s="27"/>
      <c r="N42" s="27"/>
      <c r="O42" s="27">
        <v>131829.6</v>
      </c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8"/>
      <c r="AD42" s="54">
        <f t="shared" si="0"/>
        <v>0</v>
      </c>
    </row>
    <row r="43" spans="1:32" x14ac:dyDescent="0.25">
      <c r="A43" s="49">
        <v>36</v>
      </c>
      <c r="B43" s="29" t="s">
        <v>137</v>
      </c>
      <c r="C43" s="24" t="s">
        <v>67</v>
      </c>
      <c r="D43" s="25" t="s">
        <v>138</v>
      </c>
      <c r="E43" s="26">
        <v>0</v>
      </c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8"/>
      <c r="AD43" s="54">
        <f t="shared" si="0"/>
        <v>0</v>
      </c>
    </row>
    <row r="44" spans="1:32" x14ac:dyDescent="0.25">
      <c r="A44" s="49">
        <v>37</v>
      </c>
      <c r="B44" s="12" t="s">
        <v>108</v>
      </c>
      <c r="C44" s="24" t="s">
        <v>74</v>
      </c>
      <c r="D44" s="25" t="s">
        <v>59</v>
      </c>
      <c r="E44" s="31">
        <v>0</v>
      </c>
      <c r="F44" s="32">
        <f>49998.2</f>
        <v>49998.2</v>
      </c>
      <c r="G44" s="32">
        <f>49998.2</f>
        <v>49998.2</v>
      </c>
      <c r="H44" s="32"/>
      <c r="I44" s="32"/>
      <c r="J44" s="32"/>
      <c r="K44" s="32"/>
      <c r="L44" s="32">
        <v>79159.8</v>
      </c>
      <c r="M44" s="32">
        <v>79159.8</v>
      </c>
      <c r="N44" s="32">
        <v>45382.2</v>
      </c>
      <c r="O44" s="32">
        <v>45382.2</v>
      </c>
      <c r="P44" s="32"/>
      <c r="Q44" s="32"/>
      <c r="R44" s="32">
        <f>97361.2</f>
        <v>97361.2</v>
      </c>
      <c r="S44" s="32">
        <v>97361.2</v>
      </c>
      <c r="T44" s="32">
        <f>58082</f>
        <v>58082</v>
      </c>
      <c r="U44" s="32">
        <v>58082</v>
      </c>
      <c r="V44" s="32"/>
      <c r="W44" s="32"/>
      <c r="X44" s="32"/>
      <c r="Y44" s="32"/>
      <c r="Z44" s="32"/>
      <c r="AA44" s="32"/>
      <c r="AB44" s="32"/>
      <c r="AC44" s="33"/>
      <c r="AD44" s="54">
        <f t="shared" si="0"/>
        <v>0</v>
      </c>
    </row>
    <row r="45" spans="1:32" x14ac:dyDescent="0.25">
      <c r="A45" s="49">
        <v>38</v>
      </c>
      <c r="B45" s="29" t="s">
        <v>103</v>
      </c>
      <c r="C45" s="24" t="s">
        <v>99</v>
      </c>
      <c r="D45" s="25" t="s">
        <v>59</v>
      </c>
      <c r="E45" s="26">
        <v>0</v>
      </c>
      <c r="F45" s="27">
        <f>4212.48+13117.86</f>
        <v>17330.34</v>
      </c>
      <c r="G45" s="27">
        <f>4212.48+13117.86</f>
        <v>17330.34</v>
      </c>
      <c r="H45" s="27">
        <f>13151+4092.4</f>
        <v>17243.400000000001</v>
      </c>
      <c r="I45" s="27">
        <f>4092.4+13151</f>
        <v>17243.400000000001</v>
      </c>
      <c r="J45" s="27">
        <f>12486.98+4092.4</f>
        <v>16579.38</v>
      </c>
      <c r="K45" s="27">
        <v>16579.38</v>
      </c>
      <c r="L45" s="27">
        <f>13190.15+4031.56</f>
        <v>17221.71</v>
      </c>
      <c r="M45" s="27">
        <f>4031.56</f>
        <v>4031.56</v>
      </c>
      <c r="N45" s="27">
        <f>4092.4+12658.04</f>
        <v>16750.440000000002</v>
      </c>
      <c r="O45" s="27">
        <f>13190.15+12658.04+4092.4</f>
        <v>29940.590000000004</v>
      </c>
      <c r="P45" s="27">
        <f>4092.4+12886.99</f>
        <v>16979.39</v>
      </c>
      <c r="Q45" s="27">
        <v>16979.39</v>
      </c>
      <c r="R45" s="27">
        <f>4092.4+12246.2</f>
        <v>16338.6</v>
      </c>
      <c r="S45" s="27">
        <v>16338.6</v>
      </c>
      <c r="T45" s="27">
        <f>4079.82+12778.04</f>
        <v>16857.86</v>
      </c>
      <c r="U45" s="27">
        <v>16857.86</v>
      </c>
      <c r="V45" s="27"/>
      <c r="W45" s="27"/>
      <c r="X45" s="27"/>
      <c r="Y45" s="27"/>
      <c r="Z45" s="27"/>
      <c r="AA45" s="27"/>
      <c r="AB45" s="27"/>
      <c r="AC45" s="28"/>
      <c r="AD45" s="54">
        <f t="shared" si="0"/>
        <v>0</v>
      </c>
    </row>
    <row r="46" spans="1:32" x14ac:dyDescent="0.25">
      <c r="A46" s="49">
        <v>39</v>
      </c>
      <c r="B46" s="38" t="s">
        <v>6</v>
      </c>
      <c r="C46" s="24" t="s">
        <v>72</v>
      </c>
      <c r="D46" s="25" t="s">
        <v>59</v>
      </c>
      <c r="E46" s="26">
        <v>43660</v>
      </c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8"/>
      <c r="AD46" s="54">
        <f t="shared" si="0"/>
        <v>43660</v>
      </c>
    </row>
    <row r="47" spans="1:32" x14ac:dyDescent="0.25">
      <c r="A47" s="49">
        <v>40</v>
      </c>
      <c r="B47" s="38" t="s">
        <v>238</v>
      </c>
      <c r="C47" s="24" t="s">
        <v>239</v>
      </c>
      <c r="D47" s="25" t="s">
        <v>59</v>
      </c>
      <c r="E47" s="26">
        <v>0</v>
      </c>
      <c r="F47" s="27"/>
      <c r="G47" s="27"/>
      <c r="H47" s="27"/>
      <c r="I47" s="27"/>
      <c r="J47" s="27">
        <f>95000.01+95000.01+46500</f>
        <v>236500.02</v>
      </c>
      <c r="K47" s="27">
        <f>95000.01+95000.01+46500</f>
        <v>236500.02</v>
      </c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8"/>
      <c r="AD47" s="54">
        <f t="shared" si="0"/>
        <v>0</v>
      </c>
    </row>
    <row r="48" spans="1:32" x14ac:dyDescent="0.25">
      <c r="A48" s="49">
        <v>41</v>
      </c>
      <c r="B48" s="29" t="s">
        <v>178</v>
      </c>
      <c r="C48" s="24" t="s">
        <v>62</v>
      </c>
      <c r="D48" s="25" t="s">
        <v>59</v>
      </c>
      <c r="E48" s="26">
        <v>132160</v>
      </c>
      <c r="F48" s="27">
        <f>28221</f>
        <v>28221</v>
      </c>
      <c r="G48" s="27">
        <f>132160</f>
        <v>132160</v>
      </c>
      <c r="H48" s="27">
        <f>19200</f>
        <v>19200</v>
      </c>
      <c r="I48" s="27">
        <v>28221</v>
      </c>
      <c r="J48" s="27"/>
      <c r="K48" s="27">
        <f>19200</f>
        <v>19200</v>
      </c>
      <c r="L48" s="27">
        <f>11466</f>
        <v>11466</v>
      </c>
      <c r="M48" s="27">
        <f>11466</f>
        <v>11466</v>
      </c>
      <c r="N48" s="27"/>
      <c r="O48" s="27"/>
      <c r="P48" s="27">
        <f>9072</f>
        <v>9072</v>
      </c>
      <c r="Q48" s="27">
        <v>9072</v>
      </c>
      <c r="R48" s="27"/>
      <c r="S48" s="27"/>
      <c r="T48" s="27">
        <f>28284.4</f>
        <v>28284.400000000001</v>
      </c>
      <c r="U48" s="27">
        <f>28284.4</f>
        <v>28284.400000000001</v>
      </c>
      <c r="V48" s="27"/>
      <c r="W48" s="27"/>
      <c r="X48" s="27"/>
      <c r="Y48" s="27"/>
      <c r="Z48" s="27"/>
      <c r="AA48" s="27"/>
      <c r="AB48" s="27"/>
      <c r="AC48" s="28"/>
      <c r="AD48" s="54">
        <f t="shared" si="0"/>
        <v>0</v>
      </c>
    </row>
    <row r="49" spans="1:30" x14ac:dyDescent="0.25">
      <c r="A49" s="49">
        <v>42</v>
      </c>
      <c r="B49" s="29" t="s">
        <v>304</v>
      </c>
      <c r="C49" s="24" t="s">
        <v>303</v>
      </c>
      <c r="D49" s="25" t="s">
        <v>59</v>
      </c>
      <c r="E49" s="26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>
        <v>0</v>
      </c>
      <c r="U49" s="27"/>
      <c r="V49" s="27"/>
      <c r="W49" s="27"/>
      <c r="X49" s="27"/>
      <c r="Y49" s="27"/>
      <c r="Z49" s="27"/>
      <c r="AA49" s="27"/>
      <c r="AB49" s="27"/>
      <c r="AC49" s="28"/>
      <c r="AD49" s="54">
        <f t="shared" si="0"/>
        <v>0</v>
      </c>
    </row>
    <row r="50" spans="1:30" x14ac:dyDescent="0.25">
      <c r="A50" s="49">
        <v>43</v>
      </c>
      <c r="B50" s="29" t="s">
        <v>129</v>
      </c>
      <c r="C50" s="24" t="s">
        <v>73</v>
      </c>
      <c r="D50" s="25" t="s">
        <v>59</v>
      </c>
      <c r="E50" s="26">
        <v>0</v>
      </c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8"/>
      <c r="AD50" s="54">
        <f t="shared" si="0"/>
        <v>0</v>
      </c>
    </row>
    <row r="51" spans="1:30" x14ac:dyDescent="0.25">
      <c r="A51" s="49">
        <v>44</v>
      </c>
      <c r="B51" s="29" t="s">
        <v>114</v>
      </c>
      <c r="C51" s="24" t="s">
        <v>115</v>
      </c>
      <c r="D51" s="25" t="s">
        <v>59</v>
      </c>
      <c r="E51" s="26">
        <v>0</v>
      </c>
      <c r="F51" s="27"/>
      <c r="G51" s="27"/>
      <c r="H51" s="27">
        <v>30000</v>
      </c>
      <c r="I51" s="27">
        <v>30000</v>
      </c>
      <c r="J51" s="27"/>
      <c r="K51" s="27"/>
      <c r="L51" s="27">
        <f>45000</f>
        <v>45000</v>
      </c>
      <c r="M51" s="27">
        <v>45000</v>
      </c>
      <c r="N51" s="27">
        <f>22500</f>
        <v>22500</v>
      </c>
      <c r="O51" s="27">
        <v>22500</v>
      </c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8"/>
      <c r="AD51" s="54">
        <f>E51+F51-G51+H51-I51+J51-K51+L51-M51+N51-O51+P51-Q51+R51-S51+T51-U51+V51-W51+X51-Y51+Z51-AA51+AB51-AC51</f>
        <v>0</v>
      </c>
    </row>
    <row r="52" spans="1:30" x14ac:dyDescent="0.25">
      <c r="A52" s="49">
        <v>45</v>
      </c>
      <c r="B52" s="29" t="s">
        <v>287</v>
      </c>
      <c r="C52" s="24" t="s">
        <v>288</v>
      </c>
      <c r="D52" s="25" t="s">
        <v>59</v>
      </c>
      <c r="E52" s="26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>
        <v>107734</v>
      </c>
      <c r="S52" s="27">
        <v>107734</v>
      </c>
      <c r="T52" s="27"/>
      <c r="U52" s="27"/>
      <c r="V52" s="27"/>
      <c r="W52" s="27"/>
      <c r="X52" s="27"/>
      <c r="Y52" s="27"/>
      <c r="Z52" s="27"/>
      <c r="AA52" s="27"/>
      <c r="AB52" s="27"/>
      <c r="AC52" s="28"/>
      <c r="AD52" s="54">
        <f t="shared" ref="AD52:AD56" si="1">E52+F52-G52+H52-I52+J52-K52+L52-M52+N52-O52+P52-Q52+R52-S52+T52-U52+V52-W52+X52-Y52+Z52-AA52+AB52-AC52</f>
        <v>0</v>
      </c>
    </row>
    <row r="53" spans="1:30" x14ac:dyDescent="0.25">
      <c r="A53" s="49">
        <v>46</v>
      </c>
      <c r="B53" s="29" t="s">
        <v>305</v>
      </c>
      <c r="C53" s="24" t="s">
        <v>306</v>
      </c>
      <c r="D53" s="25" t="s">
        <v>59</v>
      </c>
      <c r="E53" s="26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>
        <v>29736</v>
      </c>
      <c r="U53" s="27">
        <v>29736</v>
      </c>
      <c r="V53" s="27"/>
      <c r="W53" s="27"/>
      <c r="X53" s="27"/>
      <c r="Y53" s="27"/>
      <c r="Z53" s="27"/>
      <c r="AA53" s="27"/>
      <c r="AB53" s="27"/>
      <c r="AC53" s="28"/>
      <c r="AD53" s="54">
        <f t="shared" si="1"/>
        <v>0</v>
      </c>
    </row>
    <row r="54" spans="1:30" x14ac:dyDescent="0.25">
      <c r="A54" s="49">
        <v>47</v>
      </c>
      <c r="B54" s="29" t="s">
        <v>302</v>
      </c>
      <c r="C54" s="24" t="s">
        <v>306</v>
      </c>
      <c r="D54" s="25" t="s">
        <v>59</v>
      </c>
      <c r="E54" s="26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>
        <v>21409.919999999998</v>
      </c>
      <c r="U54" s="27">
        <v>21409.919999999998</v>
      </c>
      <c r="V54" s="27"/>
      <c r="W54" s="27"/>
      <c r="X54" s="27"/>
      <c r="Y54" s="27"/>
      <c r="Z54" s="27"/>
      <c r="AA54" s="27"/>
      <c r="AB54" s="27"/>
      <c r="AC54" s="28"/>
      <c r="AD54" s="54">
        <f t="shared" si="1"/>
        <v>0</v>
      </c>
    </row>
    <row r="55" spans="1:30" x14ac:dyDescent="0.25">
      <c r="A55" s="49">
        <v>48</v>
      </c>
      <c r="B55" s="29" t="s">
        <v>124</v>
      </c>
      <c r="C55" s="24" t="s">
        <v>125</v>
      </c>
      <c r="D55" s="25" t="s">
        <v>59</v>
      </c>
      <c r="E55" s="26">
        <v>47790</v>
      </c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8"/>
      <c r="AD55" s="54">
        <f t="shared" si="1"/>
        <v>47790</v>
      </c>
    </row>
    <row r="56" spans="1:30" x14ac:dyDescent="0.25">
      <c r="A56" s="49">
        <v>49</v>
      </c>
      <c r="B56" s="55" t="s">
        <v>226</v>
      </c>
      <c r="C56" s="24" t="s">
        <v>227</v>
      </c>
      <c r="D56" s="25" t="s">
        <v>59</v>
      </c>
      <c r="E56" s="26"/>
      <c r="F56" s="27"/>
      <c r="G56" s="27"/>
      <c r="H56" s="27">
        <v>162674.79999999999</v>
      </c>
      <c r="I56" s="27">
        <v>162674.79999999999</v>
      </c>
      <c r="J56" s="27"/>
      <c r="K56" s="27"/>
      <c r="L56" s="27">
        <f>89444</f>
        <v>89444</v>
      </c>
      <c r="M56" s="27"/>
      <c r="N56" s="27">
        <v>60770</v>
      </c>
      <c r="O56" s="27">
        <f>150214</f>
        <v>150214</v>
      </c>
      <c r="P56" s="27">
        <f>119961.22</f>
        <v>119961.22</v>
      </c>
      <c r="Q56" s="27">
        <v>119961.22</v>
      </c>
      <c r="R56" s="27">
        <f>85426.1</f>
        <v>85426.1</v>
      </c>
      <c r="S56" s="27">
        <f>85426.1</f>
        <v>85426.1</v>
      </c>
      <c r="T56" s="27"/>
      <c r="U56" s="27"/>
      <c r="V56" s="27"/>
      <c r="W56" s="27"/>
      <c r="X56" s="27"/>
      <c r="Y56" s="27"/>
      <c r="Z56" s="27"/>
      <c r="AA56" s="27"/>
      <c r="AB56" s="27"/>
      <c r="AC56" s="28"/>
      <c r="AD56" s="54">
        <f t="shared" si="1"/>
        <v>0</v>
      </c>
    </row>
    <row r="57" spans="1:30" x14ac:dyDescent="0.25">
      <c r="A57" s="49">
        <v>50</v>
      </c>
      <c r="B57" s="55" t="s">
        <v>234</v>
      </c>
      <c r="C57" s="24" t="s">
        <v>235</v>
      </c>
      <c r="D57" s="25" t="s">
        <v>59</v>
      </c>
      <c r="E57" s="26"/>
      <c r="F57" s="27"/>
      <c r="G57" s="27"/>
      <c r="H57" s="27">
        <v>24762.3</v>
      </c>
      <c r="I57" s="27"/>
      <c r="J57" s="27"/>
      <c r="K57" s="27">
        <v>24762.3</v>
      </c>
      <c r="L57" s="27"/>
      <c r="M57" s="27"/>
      <c r="N57" s="27"/>
      <c r="O57" s="27"/>
      <c r="P57" s="27">
        <f>38704</f>
        <v>38704</v>
      </c>
      <c r="Q57" s="27"/>
      <c r="R57" s="27"/>
      <c r="S57" s="27">
        <v>38704</v>
      </c>
      <c r="T57" s="27"/>
      <c r="U57" s="27"/>
      <c r="V57" s="27"/>
      <c r="W57" s="27"/>
      <c r="X57" s="27"/>
      <c r="Y57" s="27"/>
      <c r="Z57" s="27"/>
      <c r="AA57" s="27"/>
      <c r="AB57" s="27"/>
      <c r="AC57" s="28"/>
      <c r="AD57" s="54">
        <f t="shared" si="0"/>
        <v>0</v>
      </c>
    </row>
    <row r="58" spans="1:30" x14ac:dyDescent="0.25">
      <c r="A58" s="49">
        <v>51</v>
      </c>
      <c r="B58" s="29" t="s">
        <v>130</v>
      </c>
      <c r="C58" s="24" t="s">
        <v>62</v>
      </c>
      <c r="D58" s="25" t="s">
        <v>59</v>
      </c>
      <c r="E58" s="26">
        <v>0</v>
      </c>
      <c r="F58" s="27"/>
      <c r="G58" s="27"/>
      <c r="H58" s="27">
        <f>56263</f>
        <v>56263</v>
      </c>
      <c r="I58" s="27">
        <v>56263</v>
      </c>
      <c r="J58" s="27"/>
      <c r="K58" s="27"/>
      <c r="L58" s="27">
        <f>112820</f>
        <v>112820</v>
      </c>
      <c r="M58" s="27"/>
      <c r="N58" s="27"/>
      <c r="O58" s="27">
        <f>112820</f>
        <v>112820</v>
      </c>
      <c r="P58" s="27">
        <v>72720</v>
      </c>
      <c r="Q58" s="27">
        <v>72720</v>
      </c>
      <c r="R58" s="27">
        <f>82420</f>
        <v>82420</v>
      </c>
      <c r="S58" s="27">
        <v>82420</v>
      </c>
      <c r="T58" s="27">
        <f>12213</f>
        <v>12213</v>
      </c>
      <c r="U58" s="27">
        <v>12213</v>
      </c>
      <c r="V58" s="27"/>
      <c r="W58" s="27"/>
      <c r="X58" s="27"/>
      <c r="Y58" s="27"/>
      <c r="Z58" s="27"/>
      <c r="AA58" s="27"/>
      <c r="AB58" s="27"/>
      <c r="AC58" s="28"/>
      <c r="AD58" s="54">
        <f t="shared" si="0"/>
        <v>0</v>
      </c>
    </row>
    <row r="59" spans="1:30" x14ac:dyDescent="0.25">
      <c r="A59" s="49">
        <v>52</v>
      </c>
      <c r="B59" s="29" t="s">
        <v>230</v>
      </c>
      <c r="C59" s="24" t="s">
        <v>231</v>
      </c>
      <c r="D59" s="25" t="s">
        <v>59</v>
      </c>
      <c r="E59" s="26">
        <v>0</v>
      </c>
      <c r="F59" s="27"/>
      <c r="G59" s="27"/>
      <c r="H59" s="27">
        <v>18037.48</v>
      </c>
      <c r="I59" s="27">
        <v>18037.48</v>
      </c>
      <c r="J59" s="27">
        <f>4576</f>
        <v>4576</v>
      </c>
      <c r="K59" s="27">
        <v>4576</v>
      </c>
      <c r="L59" s="27"/>
      <c r="M59" s="27"/>
      <c r="N59" s="27"/>
      <c r="O59" s="27"/>
      <c r="P59" s="27"/>
      <c r="Q59" s="27"/>
      <c r="R59" s="27">
        <f>16384.01</f>
        <v>16384.009999999998</v>
      </c>
      <c r="S59" s="27">
        <v>16384.009999999998</v>
      </c>
      <c r="T59" s="27"/>
      <c r="U59" s="27"/>
      <c r="V59" s="27"/>
      <c r="W59" s="27"/>
      <c r="X59" s="27"/>
      <c r="Y59" s="27"/>
      <c r="Z59" s="27"/>
      <c r="AA59" s="27"/>
      <c r="AB59" s="27"/>
      <c r="AC59" s="28"/>
      <c r="AD59" s="54">
        <f t="shared" si="0"/>
        <v>0</v>
      </c>
    </row>
    <row r="60" spans="1:30" x14ac:dyDescent="0.25">
      <c r="A60" s="49">
        <v>53</v>
      </c>
      <c r="B60" s="29" t="s">
        <v>224</v>
      </c>
      <c r="C60" s="24"/>
      <c r="D60" s="25" t="s">
        <v>59</v>
      </c>
      <c r="E60" s="26">
        <v>0</v>
      </c>
      <c r="F60" s="27"/>
      <c r="G60" s="27"/>
      <c r="H60" s="27">
        <v>188549.99</v>
      </c>
      <c r="I60" s="27">
        <v>188549.99</v>
      </c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8"/>
      <c r="AD60" s="54">
        <f t="shared" si="0"/>
        <v>0</v>
      </c>
    </row>
    <row r="61" spans="1:30" x14ac:dyDescent="0.25">
      <c r="A61" s="49">
        <v>54</v>
      </c>
      <c r="B61" s="29" t="s">
        <v>297</v>
      </c>
      <c r="C61" s="24" t="s">
        <v>250</v>
      </c>
      <c r="D61" s="25" t="s">
        <v>59</v>
      </c>
      <c r="E61" s="26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>
        <v>7000</v>
      </c>
      <c r="S61" s="27">
        <v>7000</v>
      </c>
      <c r="T61" s="27"/>
      <c r="U61" s="27"/>
      <c r="V61" s="27"/>
      <c r="W61" s="27"/>
      <c r="X61" s="27"/>
      <c r="Y61" s="27"/>
      <c r="Z61" s="27"/>
      <c r="AA61" s="27"/>
      <c r="AB61" s="27"/>
      <c r="AC61" s="28"/>
      <c r="AD61" s="54"/>
    </row>
    <row r="62" spans="1:30" x14ac:dyDescent="0.25">
      <c r="A62" s="49">
        <v>55</v>
      </c>
      <c r="B62" s="38" t="s">
        <v>7</v>
      </c>
      <c r="C62" s="24" t="s">
        <v>75</v>
      </c>
      <c r="D62" s="25" t="s">
        <v>59</v>
      </c>
      <c r="E62" s="26">
        <v>2366</v>
      </c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8"/>
      <c r="AD62" s="54">
        <f t="shared" si="0"/>
        <v>2366</v>
      </c>
    </row>
    <row r="63" spans="1:30" x14ac:dyDescent="0.25">
      <c r="A63" s="49">
        <v>56</v>
      </c>
      <c r="B63" s="38" t="s">
        <v>126</v>
      </c>
      <c r="C63" s="24" t="s">
        <v>62</v>
      </c>
      <c r="D63" s="25" t="s">
        <v>59</v>
      </c>
      <c r="E63" s="26">
        <v>0</v>
      </c>
      <c r="F63" s="27"/>
      <c r="G63" s="27"/>
      <c r="H63" s="27">
        <f>144870.84</f>
        <v>144870.84</v>
      </c>
      <c r="I63" s="27">
        <v>144870.84</v>
      </c>
      <c r="J63" s="27"/>
      <c r="K63" s="27"/>
      <c r="L63" s="27">
        <f>244571.68</f>
        <v>244571.68</v>
      </c>
      <c r="M63" s="27"/>
      <c r="N63" s="27">
        <f>231312</f>
        <v>231312</v>
      </c>
      <c r="O63" s="27">
        <f>244571.68</f>
        <v>244571.68</v>
      </c>
      <c r="P63" s="27">
        <f>206606.4</f>
        <v>206606.4</v>
      </c>
      <c r="Q63" s="27">
        <f>231312+206606.4</f>
        <v>437918.4</v>
      </c>
      <c r="R63" s="27">
        <f>225813.2</f>
        <v>225813.2</v>
      </c>
      <c r="S63" s="27">
        <v>225813.2</v>
      </c>
      <c r="T63" s="27">
        <f>106002.8</f>
        <v>106002.8</v>
      </c>
      <c r="U63" s="27">
        <v>106002.8</v>
      </c>
      <c r="V63" s="27"/>
      <c r="W63" s="27"/>
      <c r="X63" s="27"/>
      <c r="Y63" s="27"/>
      <c r="Z63" s="27"/>
      <c r="AA63" s="27"/>
      <c r="AB63" s="27"/>
      <c r="AC63" s="28"/>
      <c r="AD63" s="54">
        <f t="shared" si="0"/>
        <v>0</v>
      </c>
    </row>
    <row r="64" spans="1:30" x14ac:dyDescent="0.25">
      <c r="A64" s="49">
        <v>57</v>
      </c>
      <c r="B64" s="38" t="s">
        <v>8</v>
      </c>
      <c r="C64" s="24" t="s">
        <v>62</v>
      </c>
      <c r="D64" s="25" t="s">
        <v>59</v>
      </c>
      <c r="E64" s="26">
        <v>13870.37</v>
      </c>
      <c r="F64" s="27">
        <f>1616.7+1420+1631.46</f>
        <v>4668.16</v>
      </c>
      <c r="G64" s="27"/>
      <c r="H64" s="27">
        <f>8190+1250+1242.28+2090+3472.54+3300</f>
        <v>19544.82</v>
      </c>
      <c r="I64" s="27">
        <v>34783.35</v>
      </c>
      <c r="J64" s="27">
        <v>3274.2</v>
      </c>
      <c r="K64" s="27">
        <v>6574.2</v>
      </c>
      <c r="L64" s="27">
        <f>7215+3863.06</f>
        <v>11078.06</v>
      </c>
      <c r="M64" s="27"/>
      <c r="N64" s="27">
        <f>1508</f>
        <v>1508</v>
      </c>
      <c r="O64" s="27"/>
      <c r="P64" s="27"/>
      <c r="Q64" s="27">
        <v>12586.06</v>
      </c>
      <c r="R64" s="27">
        <f>2896.35</f>
        <v>2896.35</v>
      </c>
      <c r="S64" s="27"/>
      <c r="T64" s="27">
        <f>885.9+21521.4+7215+1282.11</f>
        <v>30904.410000000003</v>
      </c>
      <c r="U64" s="27">
        <f>25303.65</f>
        <v>25303.65</v>
      </c>
      <c r="V64" s="27"/>
      <c r="W64" s="27"/>
      <c r="X64" s="27"/>
      <c r="Y64" s="27"/>
      <c r="Z64" s="27"/>
      <c r="AA64" s="27"/>
      <c r="AB64" s="27"/>
      <c r="AC64" s="28"/>
      <c r="AD64" s="54">
        <f t="shared" si="0"/>
        <v>8497.11</v>
      </c>
    </row>
    <row r="65" spans="1:30" x14ac:dyDescent="0.25">
      <c r="A65" s="49">
        <v>58</v>
      </c>
      <c r="B65" s="38" t="s">
        <v>293</v>
      </c>
      <c r="C65" s="24" t="s">
        <v>294</v>
      </c>
      <c r="D65" s="25" t="s">
        <v>59</v>
      </c>
      <c r="E65" s="26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>
        <v>70920.36</v>
      </c>
      <c r="S65" s="27">
        <v>70920.36</v>
      </c>
      <c r="T65" s="27"/>
      <c r="U65" s="27"/>
      <c r="V65" s="27"/>
      <c r="W65" s="27"/>
      <c r="X65" s="27"/>
      <c r="Y65" s="27"/>
      <c r="Z65" s="27"/>
      <c r="AA65" s="27"/>
      <c r="AB65" s="27"/>
      <c r="AC65" s="28"/>
      <c r="AD65" s="54">
        <f t="shared" si="0"/>
        <v>0</v>
      </c>
    </row>
    <row r="66" spans="1:30" x14ac:dyDescent="0.25">
      <c r="A66" s="49">
        <v>59</v>
      </c>
      <c r="B66" s="38" t="s">
        <v>186</v>
      </c>
      <c r="C66" s="24" t="s">
        <v>187</v>
      </c>
      <c r="D66" s="25" t="s">
        <v>59</v>
      </c>
      <c r="E66" s="26">
        <v>324773.76000000001</v>
      </c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8"/>
      <c r="AD66" s="54">
        <f t="shared" si="0"/>
        <v>324773.76000000001</v>
      </c>
    </row>
    <row r="67" spans="1:30" x14ac:dyDescent="0.25">
      <c r="A67" s="49">
        <v>60</v>
      </c>
      <c r="B67" s="38" t="s">
        <v>267</v>
      </c>
      <c r="C67" s="24" t="s">
        <v>268</v>
      </c>
      <c r="D67" s="25" t="s">
        <v>59</v>
      </c>
      <c r="E67" s="26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>
        <v>7434</v>
      </c>
      <c r="Q67" s="27"/>
      <c r="R67" s="27"/>
      <c r="S67" s="27">
        <v>7434</v>
      </c>
      <c r="T67" s="27"/>
      <c r="U67" s="27"/>
      <c r="V67" s="27"/>
      <c r="W67" s="27"/>
      <c r="X67" s="27"/>
      <c r="Y67" s="27"/>
      <c r="Z67" s="27"/>
      <c r="AA67" s="27"/>
      <c r="AB67" s="27"/>
      <c r="AC67" s="28"/>
      <c r="AD67" s="54">
        <f t="shared" si="0"/>
        <v>0</v>
      </c>
    </row>
    <row r="68" spans="1:30" x14ac:dyDescent="0.25">
      <c r="A68" s="49">
        <v>61</v>
      </c>
      <c r="B68" s="38" t="s">
        <v>37</v>
      </c>
      <c r="C68" s="24" t="s">
        <v>65</v>
      </c>
      <c r="D68" s="25" t="s">
        <v>59</v>
      </c>
      <c r="E68" s="26">
        <v>0</v>
      </c>
      <c r="F68" s="27"/>
      <c r="G68" s="27"/>
      <c r="H68" s="27"/>
      <c r="I68" s="27"/>
      <c r="J68" s="27"/>
      <c r="K68" s="27"/>
      <c r="L68" s="27">
        <f>320</f>
        <v>320</v>
      </c>
      <c r="M68" s="27">
        <v>320</v>
      </c>
      <c r="N68" s="27"/>
      <c r="O68" s="27"/>
      <c r="P68" s="27">
        <f>6150+1500</f>
        <v>7650</v>
      </c>
      <c r="Q68" s="27"/>
      <c r="R68" s="27">
        <f>1800</f>
        <v>1800</v>
      </c>
      <c r="S68" s="27">
        <v>9450</v>
      </c>
      <c r="T68" s="27"/>
      <c r="U68" s="27"/>
      <c r="V68" s="27"/>
      <c r="W68" s="27"/>
      <c r="X68" s="27"/>
      <c r="Y68" s="27"/>
      <c r="Z68" s="27"/>
      <c r="AA68" s="27"/>
      <c r="AB68" s="27"/>
      <c r="AC68" s="28"/>
      <c r="AD68" s="54">
        <f t="shared" si="0"/>
        <v>0</v>
      </c>
    </row>
    <row r="69" spans="1:30" ht="23.25" x14ac:dyDescent="0.25">
      <c r="A69" s="49">
        <v>62</v>
      </c>
      <c r="B69" s="38" t="s">
        <v>272</v>
      </c>
      <c r="C69" s="24" t="s">
        <v>273</v>
      </c>
      <c r="D69" s="25" t="s">
        <v>59</v>
      </c>
      <c r="E69" s="26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>
        <v>152279</v>
      </c>
      <c r="Q69" s="27">
        <v>152279</v>
      </c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8"/>
      <c r="AD69" s="54">
        <f t="shared" si="0"/>
        <v>0</v>
      </c>
    </row>
    <row r="70" spans="1:30" x14ac:dyDescent="0.25">
      <c r="A70" s="49">
        <v>63</v>
      </c>
      <c r="B70" s="38" t="s">
        <v>274</v>
      </c>
      <c r="C70" s="24" t="s">
        <v>275</v>
      </c>
      <c r="D70" s="25" t="s">
        <v>59</v>
      </c>
      <c r="E70" s="26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>
        <v>111000.24</v>
      </c>
      <c r="Q70" s="27"/>
      <c r="R70" s="27"/>
      <c r="S70" s="27">
        <v>111000.24</v>
      </c>
      <c r="T70" s="27"/>
      <c r="U70" s="27"/>
      <c r="V70" s="27"/>
      <c r="W70" s="27"/>
      <c r="X70" s="27"/>
      <c r="Y70" s="27"/>
      <c r="Z70" s="27"/>
      <c r="AA70" s="27"/>
      <c r="AB70" s="27"/>
      <c r="AC70" s="28"/>
      <c r="AD70" s="54">
        <f t="shared" si="0"/>
        <v>0</v>
      </c>
    </row>
    <row r="71" spans="1:30" x14ac:dyDescent="0.25">
      <c r="A71" s="49">
        <v>64</v>
      </c>
      <c r="B71" s="38" t="s">
        <v>9</v>
      </c>
      <c r="C71" s="24" t="s">
        <v>76</v>
      </c>
      <c r="D71" s="25" t="s">
        <v>57</v>
      </c>
      <c r="E71" s="26">
        <v>203719.69</v>
      </c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8"/>
      <c r="AD71" s="54">
        <f t="shared" si="0"/>
        <v>203719.69</v>
      </c>
    </row>
    <row r="72" spans="1:30" x14ac:dyDescent="0.25">
      <c r="A72" s="49">
        <v>65</v>
      </c>
      <c r="B72" s="38" t="s">
        <v>132</v>
      </c>
      <c r="C72" s="24" t="s">
        <v>73</v>
      </c>
      <c r="D72" s="25" t="s">
        <v>138</v>
      </c>
      <c r="E72" s="26">
        <v>0</v>
      </c>
      <c r="F72" s="27"/>
      <c r="G72" s="27"/>
      <c r="H72" s="27">
        <f>213828</f>
        <v>213828</v>
      </c>
      <c r="I72" s="27">
        <v>213828</v>
      </c>
      <c r="J72" s="27"/>
      <c r="K72" s="27"/>
      <c r="L72" s="27">
        <f>75000</f>
        <v>75000</v>
      </c>
      <c r="M72" s="27"/>
      <c r="N72" s="27">
        <f>247540</f>
        <v>247540</v>
      </c>
      <c r="O72" s="27">
        <f>75000</f>
        <v>75000</v>
      </c>
      <c r="P72" s="27">
        <f>112366</f>
        <v>112366</v>
      </c>
      <c r="Q72" s="27">
        <f>247540+112366</f>
        <v>359906</v>
      </c>
      <c r="R72" s="27">
        <f>87160</f>
        <v>87160</v>
      </c>
      <c r="S72" s="27">
        <v>87160</v>
      </c>
      <c r="T72" s="27">
        <f>70000</f>
        <v>70000</v>
      </c>
      <c r="U72" s="27">
        <f>70000</f>
        <v>70000</v>
      </c>
      <c r="V72" s="27"/>
      <c r="W72" s="27"/>
      <c r="X72" s="27"/>
      <c r="Y72" s="27"/>
      <c r="Z72" s="27"/>
      <c r="AA72" s="27"/>
      <c r="AB72" s="27"/>
      <c r="AC72" s="28"/>
      <c r="AD72" s="54">
        <f t="shared" si="0"/>
        <v>0</v>
      </c>
    </row>
    <row r="73" spans="1:30" x14ac:dyDescent="0.25">
      <c r="A73" s="49">
        <v>66</v>
      </c>
      <c r="B73" s="38" t="s">
        <v>282</v>
      </c>
      <c r="C73" s="24" t="s">
        <v>283</v>
      </c>
      <c r="D73" s="25" t="s">
        <v>59</v>
      </c>
      <c r="E73" s="26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>
        <f>6748.09</f>
        <v>6748.09</v>
      </c>
      <c r="S73" s="27">
        <v>6748.09</v>
      </c>
      <c r="T73" s="27"/>
      <c r="U73" s="27"/>
      <c r="V73" s="27"/>
      <c r="W73" s="27"/>
      <c r="X73" s="27"/>
      <c r="Y73" s="27"/>
      <c r="Z73" s="27"/>
      <c r="AA73" s="27"/>
      <c r="AB73" s="27"/>
      <c r="AC73" s="28"/>
      <c r="AD73" s="54">
        <f t="shared" si="0"/>
        <v>0</v>
      </c>
    </row>
    <row r="74" spans="1:30" x14ac:dyDescent="0.25">
      <c r="A74" s="49">
        <v>67</v>
      </c>
      <c r="B74" s="38" t="s">
        <v>139</v>
      </c>
      <c r="C74" s="24" t="s">
        <v>62</v>
      </c>
      <c r="D74" s="25" t="s">
        <v>59</v>
      </c>
      <c r="E74" s="26">
        <v>0</v>
      </c>
      <c r="F74" s="27">
        <f>200900+80500</f>
        <v>281400</v>
      </c>
      <c r="G74" s="27">
        <v>281400</v>
      </c>
      <c r="H74" s="27"/>
      <c r="I74" s="27"/>
      <c r="J74" s="27"/>
      <c r="K74" s="27"/>
      <c r="L74" s="27">
        <f>246900</f>
        <v>246900</v>
      </c>
      <c r="M74" s="27"/>
      <c r="N74" s="27">
        <f>201800</f>
        <v>201800</v>
      </c>
      <c r="O74" s="27">
        <f>246900</f>
        <v>246900</v>
      </c>
      <c r="P74" s="27">
        <f>78000</f>
        <v>78000</v>
      </c>
      <c r="Q74" s="27">
        <f>201800+78000</f>
        <v>279800</v>
      </c>
      <c r="R74" s="27">
        <f>157600</f>
        <v>157600</v>
      </c>
      <c r="S74" s="27">
        <v>157600</v>
      </c>
      <c r="T74" s="27">
        <v>107900</v>
      </c>
      <c r="U74" s="27">
        <v>107900</v>
      </c>
      <c r="V74" s="27"/>
      <c r="W74" s="27"/>
      <c r="X74" s="27"/>
      <c r="Y74" s="27"/>
      <c r="Z74" s="27"/>
      <c r="AA74" s="27"/>
      <c r="AB74" s="27"/>
      <c r="AC74" s="28"/>
      <c r="AD74" s="54">
        <f t="shared" si="0"/>
        <v>0</v>
      </c>
    </row>
    <row r="75" spans="1:30" x14ac:dyDescent="0.25">
      <c r="A75" s="49">
        <v>68</v>
      </c>
      <c r="B75" s="38" t="s">
        <v>11</v>
      </c>
      <c r="C75" s="24" t="s">
        <v>65</v>
      </c>
      <c r="D75" s="25" t="s">
        <v>59</v>
      </c>
      <c r="E75" s="26">
        <v>118365.5</v>
      </c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8"/>
      <c r="AD75" s="54">
        <f t="shared" si="0"/>
        <v>118365.5</v>
      </c>
    </row>
    <row r="76" spans="1:30" x14ac:dyDescent="0.25">
      <c r="A76" s="49">
        <v>69</v>
      </c>
      <c r="B76" s="38" t="s">
        <v>117</v>
      </c>
      <c r="C76" s="24" t="s">
        <v>62</v>
      </c>
      <c r="D76" s="25" t="s">
        <v>59</v>
      </c>
      <c r="E76" s="26">
        <v>0</v>
      </c>
      <c r="F76" s="27"/>
      <c r="G76" s="27"/>
      <c r="H76" s="27"/>
      <c r="I76" s="27"/>
      <c r="J76" s="27"/>
      <c r="K76" s="27"/>
      <c r="L76" s="27">
        <f>39091</f>
        <v>39091</v>
      </c>
      <c r="M76" s="27">
        <v>39091</v>
      </c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8"/>
      <c r="AD76" s="54">
        <f t="shared" si="0"/>
        <v>0</v>
      </c>
    </row>
    <row r="77" spans="1:30" x14ac:dyDescent="0.25">
      <c r="A77" s="49">
        <v>70</v>
      </c>
      <c r="B77" s="38" t="s">
        <v>10</v>
      </c>
      <c r="C77" s="24" t="s">
        <v>62</v>
      </c>
      <c r="D77" s="25" t="s">
        <v>57</v>
      </c>
      <c r="E77" s="26">
        <v>0</v>
      </c>
      <c r="F77" s="27">
        <f>118000</f>
        <v>118000</v>
      </c>
      <c r="G77" s="27">
        <v>118000</v>
      </c>
      <c r="H77" s="27">
        <f>238531</f>
        <v>238531</v>
      </c>
      <c r="I77" s="27">
        <v>238531</v>
      </c>
      <c r="J77" s="27">
        <f>57705</f>
        <v>57705</v>
      </c>
      <c r="K77" s="27"/>
      <c r="L77" s="27">
        <f>234564+70480</f>
        <v>305044</v>
      </c>
      <c r="M77" s="27">
        <v>362749</v>
      </c>
      <c r="N77" s="27">
        <f>16320</f>
        <v>16320</v>
      </c>
      <c r="O77" s="27">
        <v>16320</v>
      </c>
      <c r="P77" s="27">
        <f>38575+77805.76</f>
        <v>116380.76</v>
      </c>
      <c r="Q77" s="27">
        <v>116380.76</v>
      </c>
      <c r="R77" s="27">
        <f>68703.83+80395.46</f>
        <v>149099.29</v>
      </c>
      <c r="S77" s="27">
        <v>149099.29</v>
      </c>
      <c r="T77" s="27">
        <f>77493.01+87839.2</f>
        <v>165332.21</v>
      </c>
      <c r="U77" s="27"/>
      <c r="V77" s="27"/>
      <c r="W77" s="27"/>
      <c r="X77" s="27"/>
      <c r="Y77" s="27"/>
      <c r="Z77" s="27"/>
      <c r="AA77" s="27"/>
      <c r="AB77" s="27"/>
      <c r="AC77" s="28"/>
      <c r="AD77" s="54">
        <f t="shared" si="0"/>
        <v>165332.21</v>
      </c>
    </row>
    <row r="78" spans="1:30" x14ac:dyDescent="0.25">
      <c r="A78" s="49">
        <v>71</v>
      </c>
      <c r="B78" s="38" t="s">
        <v>307</v>
      </c>
      <c r="C78" s="24" t="s">
        <v>308</v>
      </c>
      <c r="D78" s="25" t="s">
        <v>59</v>
      </c>
      <c r="E78" s="26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>
        <v>22800</v>
      </c>
      <c r="U78" s="27">
        <v>22800</v>
      </c>
      <c r="V78" s="27"/>
      <c r="W78" s="27"/>
      <c r="X78" s="27"/>
      <c r="Y78" s="27"/>
      <c r="Z78" s="27"/>
      <c r="AA78" s="27"/>
      <c r="AB78" s="27"/>
      <c r="AC78" s="28"/>
      <c r="AD78" s="54">
        <f t="shared" si="0"/>
        <v>0</v>
      </c>
    </row>
    <row r="79" spans="1:30" x14ac:dyDescent="0.25">
      <c r="A79" s="49">
        <v>72</v>
      </c>
      <c r="B79" s="38" t="s">
        <v>121</v>
      </c>
      <c r="C79" s="24" t="s">
        <v>77</v>
      </c>
      <c r="D79" s="25" t="s">
        <v>59</v>
      </c>
      <c r="E79" s="26">
        <v>0</v>
      </c>
      <c r="F79" s="27">
        <f>177236</f>
        <v>177236</v>
      </c>
      <c r="G79" s="27">
        <v>177236</v>
      </c>
      <c r="H79" s="27">
        <f>203236</f>
        <v>203236</v>
      </c>
      <c r="I79" s="27"/>
      <c r="J79" s="27">
        <f>195880</f>
        <v>195880</v>
      </c>
      <c r="K79" s="27">
        <v>203236</v>
      </c>
      <c r="L79" s="27"/>
      <c r="M79" s="27">
        <v>195880</v>
      </c>
      <c r="N79" s="27">
        <f>168268</f>
        <v>168268</v>
      </c>
      <c r="O79" s="27">
        <v>168268</v>
      </c>
      <c r="P79" s="27"/>
      <c r="Q79" s="27"/>
      <c r="R79" s="27">
        <v>188092</v>
      </c>
      <c r="S79" s="27">
        <v>188092</v>
      </c>
      <c r="T79" s="27">
        <v>169507</v>
      </c>
      <c r="U79" s="27">
        <v>169507</v>
      </c>
      <c r="V79" s="27"/>
      <c r="W79" s="27"/>
      <c r="X79" s="27"/>
      <c r="Y79" s="27"/>
      <c r="Z79" s="27"/>
      <c r="AA79" s="27"/>
      <c r="AB79" s="27"/>
      <c r="AC79" s="28"/>
      <c r="AD79" s="54">
        <f t="shared" si="0"/>
        <v>0</v>
      </c>
    </row>
    <row r="80" spans="1:30" x14ac:dyDescent="0.25">
      <c r="A80" s="49">
        <v>73</v>
      </c>
      <c r="B80" s="38" t="s">
        <v>13</v>
      </c>
      <c r="C80" s="24" t="s">
        <v>77</v>
      </c>
      <c r="D80" s="25" t="s">
        <v>57</v>
      </c>
      <c r="E80" s="26">
        <v>0</v>
      </c>
      <c r="F80" s="27"/>
      <c r="G80" s="27"/>
      <c r="H80" s="27">
        <f>27195</f>
        <v>27195</v>
      </c>
      <c r="I80" s="27">
        <v>27195</v>
      </c>
      <c r="J80" s="27">
        <v>34880</v>
      </c>
      <c r="K80" s="27"/>
      <c r="L80" s="27">
        <f>33030.3</f>
        <v>33030.300000000003</v>
      </c>
      <c r="M80" s="27">
        <v>67910.3</v>
      </c>
      <c r="N80" s="27">
        <f>32238.98</f>
        <v>32238.98</v>
      </c>
      <c r="O80" s="27"/>
      <c r="P80" s="27"/>
      <c r="Q80" s="27"/>
      <c r="R80" s="27"/>
      <c r="S80" s="27">
        <v>32238.98</v>
      </c>
      <c r="T80" s="27"/>
      <c r="U80" s="27"/>
      <c r="V80" s="27"/>
      <c r="W80" s="27"/>
      <c r="X80" s="27"/>
      <c r="Y80" s="27"/>
      <c r="Z80" s="27"/>
      <c r="AA80" s="27"/>
      <c r="AB80" s="27"/>
      <c r="AC80" s="28"/>
      <c r="AD80" s="54">
        <f t="shared" si="0"/>
        <v>0</v>
      </c>
    </row>
    <row r="81" spans="1:30" x14ac:dyDescent="0.25">
      <c r="A81" s="49">
        <v>74</v>
      </c>
      <c r="B81" s="38" t="s">
        <v>12</v>
      </c>
      <c r="C81" s="24" t="s">
        <v>76</v>
      </c>
      <c r="D81" s="25" t="s">
        <v>59</v>
      </c>
      <c r="E81" s="26">
        <v>236708</v>
      </c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8"/>
      <c r="AD81" s="54">
        <f t="shared" si="0"/>
        <v>236708</v>
      </c>
    </row>
    <row r="82" spans="1:30" ht="23.25" x14ac:dyDescent="0.25">
      <c r="A82" s="49">
        <v>75</v>
      </c>
      <c r="B82" s="38" t="s">
        <v>217</v>
      </c>
      <c r="C82" s="24" t="s">
        <v>61</v>
      </c>
      <c r="D82" s="25" t="s">
        <v>218</v>
      </c>
      <c r="E82" s="26">
        <v>296000</v>
      </c>
      <c r="F82" s="27">
        <v>18500</v>
      </c>
      <c r="G82" s="27"/>
      <c r="H82" s="27">
        <f>18500</f>
        <v>18500</v>
      </c>
      <c r="I82" s="27">
        <v>111000</v>
      </c>
      <c r="J82" s="27">
        <v>18500</v>
      </c>
      <c r="K82" s="27">
        <v>203500</v>
      </c>
      <c r="L82" s="27">
        <f>18500</f>
        <v>18500</v>
      </c>
      <c r="M82" s="27">
        <v>55500</v>
      </c>
      <c r="N82" s="27">
        <f>18500</f>
        <v>18500</v>
      </c>
      <c r="O82" s="27">
        <v>18500</v>
      </c>
      <c r="P82" s="27">
        <v>18500</v>
      </c>
      <c r="Q82" s="27">
        <v>18500</v>
      </c>
      <c r="R82" s="27">
        <v>18500</v>
      </c>
      <c r="S82" s="27">
        <v>18500</v>
      </c>
      <c r="T82" s="27">
        <v>18500</v>
      </c>
      <c r="U82" s="27">
        <v>18500</v>
      </c>
      <c r="V82" s="27"/>
      <c r="W82" s="27"/>
      <c r="X82" s="27"/>
      <c r="Y82" s="27"/>
      <c r="Z82" s="27"/>
      <c r="AA82" s="27"/>
      <c r="AB82" s="27"/>
      <c r="AC82" s="28"/>
      <c r="AD82" s="54">
        <f t="shared" si="0"/>
        <v>0</v>
      </c>
    </row>
    <row r="83" spans="1:30" x14ac:dyDescent="0.25">
      <c r="A83" s="49">
        <v>76</v>
      </c>
      <c r="B83" s="38" t="s">
        <v>240</v>
      </c>
      <c r="C83" s="24" t="s">
        <v>241</v>
      </c>
      <c r="D83" s="25" t="s">
        <v>59</v>
      </c>
      <c r="E83" s="26"/>
      <c r="F83" s="27"/>
      <c r="G83" s="27"/>
      <c r="H83" s="27"/>
      <c r="I83" s="27"/>
      <c r="J83" s="27">
        <v>30000</v>
      </c>
      <c r="K83" s="27">
        <v>30000</v>
      </c>
      <c r="L83" s="27">
        <v>30000</v>
      </c>
      <c r="M83" s="27">
        <v>30000</v>
      </c>
      <c r="N83" s="27">
        <v>30000</v>
      </c>
      <c r="O83" s="27">
        <v>30000</v>
      </c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8"/>
      <c r="AD83" s="54">
        <f t="shared" si="0"/>
        <v>0</v>
      </c>
    </row>
    <row r="84" spans="1:30" x14ac:dyDescent="0.25">
      <c r="A84" s="49">
        <v>77</v>
      </c>
      <c r="B84" s="38" t="s">
        <v>162</v>
      </c>
      <c r="C84" s="24" t="s">
        <v>165</v>
      </c>
      <c r="D84" s="25" t="s">
        <v>59</v>
      </c>
      <c r="E84" s="26">
        <v>0</v>
      </c>
      <c r="F84" s="27"/>
      <c r="G84" s="27"/>
      <c r="H84" s="27"/>
      <c r="I84" s="27"/>
      <c r="J84" s="27">
        <v>26000</v>
      </c>
      <c r="K84" s="27">
        <v>26000</v>
      </c>
      <c r="L84" s="27"/>
      <c r="M84" s="27"/>
      <c r="N84" s="27"/>
      <c r="O84" s="27"/>
      <c r="P84" s="27">
        <f>45000+9000</f>
        <v>54000</v>
      </c>
      <c r="Q84" s="27">
        <f>45000+9000</f>
        <v>54000</v>
      </c>
      <c r="R84" s="27"/>
      <c r="S84" s="27"/>
      <c r="T84" s="27">
        <f>15000+13500</f>
        <v>28500</v>
      </c>
      <c r="U84" s="27">
        <f>15000+13500</f>
        <v>28500</v>
      </c>
      <c r="V84" s="27"/>
      <c r="W84" s="27"/>
      <c r="X84" s="27"/>
      <c r="Y84" s="27"/>
      <c r="Z84" s="27"/>
      <c r="AA84" s="27"/>
      <c r="AB84" s="27"/>
      <c r="AC84" s="28"/>
      <c r="AD84" s="54">
        <f t="shared" si="0"/>
        <v>0</v>
      </c>
    </row>
    <row r="85" spans="1:30" x14ac:dyDescent="0.25">
      <c r="A85" s="49">
        <v>78</v>
      </c>
      <c r="B85" s="38" t="s">
        <v>185</v>
      </c>
      <c r="C85" s="24" t="s">
        <v>188</v>
      </c>
      <c r="D85" s="25" t="s">
        <v>59</v>
      </c>
      <c r="E85" s="26">
        <v>70800</v>
      </c>
      <c r="F85" s="27"/>
      <c r="G85" s="27">
        <v>70800</v>
      </c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8"/>
      <c r="AD85" s="54">
        <f t="shared" si="0"/>
        <v>0</v>
      </c>
    </row>
    <row r="86" spans="1:30" x14ac:dyDescent="0.25">
      <c r="A86" s="49">
        <v>79</v>
      </c>
      <c r="B86" s="38" t="s">
        <v>284</v>
      </c>
      <c r="C86" s="24"/>
      <c r="D86" s="25" t="s">
        <v>59</v>
      </c>
      <c r="E86" s="26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>
        <f>2655</f>
        <v>2655</v>
      </c>
      <c r="S86" s="27">
        <v>2655</v>
      </c>
      <c r="T86" s="27">
        <f>39176</f>
        <v>39176</v>
      </c>
      <c r="U86" s="27"/>
      <c r="V86" s="27"/>
      <c r="W86" s="27"/>
      <c r="X86" s="27"/>
      <c r="Y86" s="27"/>
      <c r="Z86" s="27"/>
      <c r="AA86" s="27"/>
      <c r="AB86" s="27"/>
      <c r="AC86" s="28"/>
      <c r="AD86" s="54">
        <f t="shared" si="0"/>
        <v>39176</v>
      </c>
    </row>
    <row r="87" spans="1:30" x14ac:dyDescent="0.25">
      <c r="A87" s="49">
        <v>80</v>
      </c>
      <c r="B87" s="38" t="s">
        <v>38</v>
      </c>
      <c r="C87" s="24" t="s">
        <v>79</v>
      </c>
      <c r="D87" s="25" t="s">
        <v>59</v>
      </c>
      <c r="E87" s="26">
        <v>0</v>
      </c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8"/>
      <c r="AD87" s="54">
        <f t="shared" si="0"/>
        <v>0</v>
      </c>
    </row>
    <row r="88" spans="1:30" x14ac:dyDescent="0.25">
      <c r="A88" s="49">
        <v>81</v>
      </c>
      <c r="B88" s="38" t="s">
        <v>14</v>
      </c>
      <c r="C88" s="24" t="s">
        <v>78</v>
      </c>
      <c r="D88" s="25" t="s">
        <v>59</v>
      </c>
      <c r="E88" s="26">
        <v>4602</v>
      </c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8"/>
      <c r="AD88" s="54">
        <f t="shared" si="0"/>
        <v>4602</v>
      </c>
    </row>
    <row r="89" spans="1:30" x14ac:dyDescent="0.25">
      <c r="A89" s="49">
        <v>82</v>
      </c>
      <c r="B89" s="38" t="s">
        <v>182</v>
      </c>
      <c r="C89" s="24" t="s">
        <v>179</v>
      </c>
      <c r="D89" s="25" t="s">
        <v>59</v>
      </c>
      <c r="E89" s="26">
        <v>0</v>
      </c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>
        <v>7000</v>
      </c>
      <c r="U89" s="27">
        <v>7000</v>
      </c>
      <c r="V89" s="27"/>
      <c r="W89" s="27"/>
      <c r="X89" s="27"/>
      <c r="Y89" s="27"/>
      <c r="Z89" s="27"/>
      <c r="AA89" s="27"/>
      <c r="AB89" s="27"/>
      <c r="AC89" s="28"/>
      <c r="AD89" s="54">
        <f t="shared" si="0"/>
        <v>0</v>
      </c>
    </row>
    <row r="90" spans="1:30" x14ac:dyDescent="0.25">
      <c r="A90" s="49">
        <v>83</v>
      </c>
      <c r="B90" s="38" t="s">
        <v>170</v>
      </c>
      <c r="C90" s="24" t="s">
        <v>171</v>
      </c>
      <c r="D90" s="25" t="s">
        <v>59</v>
      </c>
      <c r="E90" s="26">
        <v>0</v>
      </c>
      <c r="F90" s="27"/>
      <c r="G90" s="27"/>
      <c r="H90" s="27">
        <v>187000</v>
      </c>
      <c r="I90" s="27">
        <v>187000</v>
      </c>
      <c r="J90" s="27">
        <v>52800</v>
      </c>
      <c r="K90" s="27">
        <v>52800</v>
      </c>
      <c r="L90" s="27">
        <v>70500</v>
      </c>
      <c r="M90" s="27">
        <v>70500</v>
      </c>
      <c r="N90" s="27"/>
      <c r="O90" s="27"/>
      <c r="P90" s="27">
        <v>161000</v>
      </c>
      <c r="Q90" s="27">
        <v>161000</v>
      </c>
      <c r="R90" s="27"/>
      <c r="S90" s="27"/>
      <c r="T90" s="27">
        <v>164300</v>
      </c>
      <c r="U90" s="27">
        <v>164300</v>
      </c>
      <c r="V90" s="27"/>
      <c r="W90" s="27"/>
      <c r="X90" s="27"/>
      <c r="Y90" s="27"/>
      <c r="Z90" s="27"/>
      <c r="AA90" s="27"/>
      <c r="AB90" s="27"/>
      <c r="AC90" s="28"/>
      <c r="AD90" s="54">
        <f t="shared" ref="AD90:AD163" si="2">E90+F90-G90+H90-I90+J90-K90+L90-M90+N90-O90+P90-Q90+R90-S90+T90-U90+V90-W90+X90-Y90+Z90-AA90+AB90-AC90</f>
        <v>0</v>
      </c>
    </row>
    <row r="91" spans="1:30" x14ac:dyDescent="0.25">
      <c r="A91" s="49">
        <v>84</v>
      </c>
      <c r="B91" s="38" t="s">
        <v>278</v>
      </c>
      <c r="C91" s="24" t="s">
        <v>279</v>
      </c>
      <c r="D91" s="25" t="s">
        <v>59</v>
      </c>
      <c r="E91" s="26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>
        <v>6700</v>
      </c>
      <c r="Q91" s="27">
        <v>6700</v>
      </c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8"/>
      <c r="AD91" s="54"/>
    </row>
    <row r="92" spans="1:30" x14ac:dyDescent="0.25">
      <c r="A92" s="49">
        <v>85</v>
      </c>
      <c r="B92" s="38" t="s">
        <v>131</v>
      </c>
      <c r="C92" s="24" t="s">
        <v>107</v>
      </c>
      <c r="D92" s="25" t="s">
        <v>59</v>
      </c>
      <c r="E92" s="26">
        <v>0</v>
      </c>
      <c r="F92" s="27"/>
      <c r="G92" s="27"/>
      <c r="H92" s="27"/>
      <c r="I92" s="27"/>
      <c r="J92" s="27"/>
      <c r="K92" s="27"/>
      <c r="L92" s="27">
        <f>63506.51</f>
        <v>63506.51</v>
      </c>
      <c r="M92" s="27">
        <v>63506.51</v>
      </c>
      <c r="N92" s="27">
        <f>21682.57</f>
        <v>21682.57</v>
      </c>
      <c r="O92" s="27"/>
      <c r="P92" s="27">
        <f>64009.04</f>
        <v>64009.04</v>
      </c>
      <c r="Q92" s="27">
        <v>85691.61</v>
      </c>
      <c r="R92" s="27">
        <f>27652.67</f>
        <v>27652.67</v>
      </c>
      <c r="S92" s="27"/>
      <c r="T92" s="27">
        <f>9671.53+27652.67+14744.95+5890.01</f>
        <v>57959.159999999996</v>
      </c>
      <c r="U92" s="27"/>
      <c r="V92" s="27"/>
      <c r="W92" s="27"/>
      <c r="X92" s="27"/>
      <c r="Y92" s="27"/>
      <c r="Z92" s="27"/>
      <c r="AA92" s="27"/>
      <c r="AB92" s="27"/>
      <c r="AC92" s="28"/>
      <c r="AD92" s="54">
        <f t="shared" si="2"/>
        <v>85611.829999999987</v>
      </c>
    </row>
    <row r="93" spans="1:30" x14ac:dyDescent="0.25">
      <c r="A93" s="49">
        <v>86</v>
      </c>
      <c r="B93" s="38" t="s">
        <v>15</v>
      </c>
      <c r="C93" s="24" t="s">
        <v>56</v>
      </c>
      <c r="D93" s="25" t="s">
        <v>57</v>
      </c>
      <c r="E93" s="26">
        <v>103770.94</v>
      </c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8"/>
      <c r="AD93" s="54">
        <f t="shared" si="2"/>
        <v>103770.94</v>
      </c>
    </row>
    <row r="94" spans="1:30" x14ac:dyDescent="0.25">
      <c r="A94" s="49">
        <v>87</v>
      </c>
      <c r="B94" s="38" t="s">
        <v>39</v>
      </c>
      <c r="C94" s="24" t="s">
        <v>80</v>
      </c>
      <c r="D94" s="25" t="s">
        <v>59</v>
      </c>
      <c r="E94" s="26">
        <v>30500</v>
      </c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8"/>
      <c r="AD94" s="54">
        <f t="shared" si="2"/>
        <v>30500</v>
      </c>
    </row>
    <row r="95" spans="1:30" x14ac:dyDescent="0.25">
      <c r="A95" s="49">
        <v>88</v>
      </c>
      <c r="B95" s="38" t="s">
        <v>40</v>
      </c>
      <c r="C95" s="24" t="s">
        <v>81</v>
      </c>
      <c r="D95" s="25" t="s">
        <v>59</v>
      </c>
      <c r="E95" s="26">
        <v>0</v>
      </c>
      <c r="F95" s="27">
        <f>65591.96</f>
        <v>65591.960000000006</v>
      </c>
      <c r="G95" s="27">
        <v>65591.960000000006</v>
      </c>
      <c r="H95" s="27">
        <f>11991.97</f>
        <v>11991.97</v>
      </c>
      <c r="I95" s="27">
        <v>11991.97</v>
      </c>
      <c r="J95" s="27"/>
      <c r="K95" s="27"/>
      <c r="L95" s="27">
        <f>32053.03</f>
        <v>32053.03</v>
      </c>
      <c r="M95" s="27"/>
      <c r="N95" s="27"/>
      <c r="O95" s="27">
        <v>32053.03</v>
      </c>
      <c r="P95" s="27"/>
      <c r="Q95" s="27"/>
      <c r="R95" s="27">
        <f>62391.95</f>
        <v>62391.95</v>
      </c>
      <c r="S95" s="27">
        <v>62391.95</v>
      </c>
      <c r="T95" s="27">
        <f>31966.49</f>
        <v>31966.49</v>
      </c>
      <c r="U95" s="27">
        <f>31966.49</f>
        <v>31966.49</v>
      </c>
      <c r="V95" s="27"/>
      <c r="W95" s="27"/>
      <c r="X95" s="27"/>
      <c r="Y95" s="27"/>
      <c r="Z95" s="27"/>
      <c r="AA95" s="27"/>
      <c r="AB95" s="27"/>
      <c r="AC95" s="28"/>
      <c r="AD95" s="54">
        <f t="shared" si="2"/>
        <v>0</v>
      </c>
    </row>
    <row r="96" spans="1:30" x14ac:dyDescent="0.25">
      <c r="A96" s="49">
        <v>89</v>
      </c>
      <c r="B96" s="38" t="s">
        <v>82</v>
      </c>
      <c r="C96" s="24" t="s">
        <v>81</v>
      </c>
      <c r="D96" s="25" t="s">
        <v>59</v>
      </c>
      <c r="E96" s="26">
        <v>0</v>
      </c>
      <c r="F96" s="27"/>
      <c r="G96" s="27"/>
      <c r="H96" s="27"/>
      <c r="I96" s="27"/>
      <c r="J96" s="27">
        <f>56050</f>
        <v>56050</v>
      </c>
      <c r="K96" s="27">
        <v>56050</v>
      </c>
      <c r="L96" s="27"/>
      <c r="M96" s="27"/>
      <c r="N96" s="27"/>
      <c r="O96" s="27"/>
      <c r="P96" s="27"/>
      <c r="Q96" s="27"/>
      <c r="R96" s="27">
        <f>13200</f>
        <v>13200</v>
      </c>
      <c r="S96" s="27">
        <v>13200</v>
      </c>
      <c r="T96" s="27"/>
      <c r="U96" s="27"/>
      <c r="V96" s="27"/>
      <c r="W96" s="27"/>
      <c r="X96" s="27"/>
      <c r="Y96" s="27"/>
      <c r="Z96" s="27"/>
      <c r="AA96" s="27"/>
      <c r="AB96" s="27"/>
      <c r="AC96" s="28"/>
      <c r="AD96" s="54">
        <f t="shared" si="2"/>
        <v>0</v>
      </c>
    </row>
    <row r="97" spans="1:33" x14ac:dyDescent="0.25">
      <c r="A97" s="49">
        <v>90</v>
      </c>
      <c r="B97" s="38" t="s">
        <v>255</v>
      </c>
      <c r="C97" s="24" t="s">
        <v>256</v>
      </c>
      <c r="D97" s="25" t="s">
        <v>59</v>
      </c>
      <c r="E97" s="26"/>
      <c r="F97" s="27"/>
      <c r="G97" s="27"/>
      <c r="H97" s="27"/>
      <c r="I97" s="27"/>
      <c r="J97" s="27"/>
      <c r="K97" s="27"/>
      <c r="L97" s="27">
        <v>2800</v>
      </c>
      <c r="M97" s="27">
        <v>2800</v>
      </c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8"/>
      <c r="AD97" s="54">
        <f t="shared" si="2"/>
        <v>0</v>
      </c>
    </row>
    <row r="98" spans="1:33" x14ac:dyDescent="0.25">
      <c r="A98" s="49">
        <v>91</v>
      </c>
      <c r="B98" s="38" t="s">
        <v>173</v>
      </c>
      <c r="C98" s="24" t="s">
        <v>120</v>
      </c>
      <c r="D98" s="25" t="s">
        <v>59</v>
      </c>
      <c r="E98" s="26">
        <v>0</v>
      </c>
      <c r="F98" s="27"/>
      <c r="G98" s="27"/>
      <c r="H98" s="27">
        <v>218890</v>
      </c>
      <c r="I98" s="27">
        <v>218890</v>
      </c>
      <c r="J98" s="27"/>
      <c r="K98" s="27"/>
      <c r="L98" s="27">
        <v>165200</v>
      </c>
      <c r="M98" s="27">
        <f>165200</f>
        <v>165200</v>
      </c>
      <c r="N98" s="27">
        <f>235410</f>
        <v>235410</v>
      </c>
      <c r="O98" s="27"/>
      <c r="P98" s="27">
        <f>239540</f>
        <v>239540</v>
      </c>
      <c r="Q98" s="27">
        <f>235410+239540</f>
        <v>474950</v>
      </c>
      <c r="R98" s="27">
        <v>214760</v>
      </c>
      <c r="S98" s="27">
        <v>214760</v>
      </c>
      <c r="T98" s="27">
        <f>239540</f>
        <v>239540</v>
      </c>
      <c r="U98" s="27">
        <v>239540</v>
      </c>
      <c r="V98" s="27"/>
      <c r="W98" s="27"/>
      <c r="X98" s="27"/>
      <c r="Y98" s="27"/>
      <c r="Z98" s="27"/>
      <c r="AA98" s="27"/>
      <c r="AB98" s="27"/>
      <c r="AC98" s="28"/>
      <c r="AD98" s="54">
        <f t="shared" si="2"/>
        <v>0</v>
      </c>
    </row>
    <row r="99" spans="1:33" x14ac:dyDescent="0.25">
      <c r="A99" s="49">
        <v>92</v>
      </c>
      <c r="B99" s="38" t="s">
        <v>133</v>
      </c>
      <c r="C99" s="24" t="s">
        <v>56</v>
      </c>
      <c r="D99" s="25" t="s">
        <v>138</v>
      </c>
      <c r="E99" s="26">
        <v>0</v>
      </c>
      <c r="F99" s="27"/>
      <c r="G99" s="27"/>
      <c r="H99" s="27">
        <f>63152.25</f>
        <v>63152.25</v>
      </c>
      <c r="I99" s="27"/>
      <c r="J99" s="27">
        <f>17515.35</f>
        <v>17515.349999999999</v>
      </c>
      <c r="K99" s="27"/>
      <c r="L99" s="27">
        <v>37592.26</v>
      </c>
      <c r="M99" s="27">
        <f>118259.86</f>
        <v>118259.86</v>
      </c>
      <c r="N99" s="27">
        <f>61663.31</f>
        <v>61663.31</v>
      </c>
      <c r="O99" s="27"/>
      <c r="P99" s="27">
        <f>29515.6</f>
        <v>29515.599999999999</v>
      </c>
      <c r="Q99" s="27">
        <f>61663.31+29515.6</f>
        <v>91178.91</v>
      </c>
      <c r="R99" s="27">
        <f>11539.32</f>
        <v>11539.32</v>
      </c>
      <c r="S99" s="27">
        <v>11539.32</v>
      </c>
      <c r="T99" s="27">
        <f>15220.98</f>
        <v>15220.98</v>
      </c>
      <c r="U99" s="27">
        <f>15220.98</f>
        <v>15220.98</v>
      </c>
      <c r="V99" s="27"/>
      <c r="W99" s="27"/>
      <c r="X99" s="27"/>
      <c r="Y99" s="27"/>
      <c r="Z99" s="27"/>
      <c r="AA99" s="27"/>
      <c r="AB99" s="27"/>
      <c r="AC99" s="28"/>
      <c r="AD99" s="54">
        <f t="shared" si="2"/>
        <v>0</v>
      </c>
    </row>
    <row r="100" spans="1:33" x14ac:dyDescent="0.25">
      <c r="A100" s="49">
        <v>93</v>
      </c>
      <c r="B100" s="38" t="s">
        <v>135</v>
      </c>
      <c r="C100" s="24" t="s">
        <v>118</v>
      </c>
      <c r="D100" s="25" t="s">
        <v>59</v>
      </c>
      <c r="E100" s="26">
        <v>0</v>
      </c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8"/>
      <c r="AD100" s="54">
        <f t="shared" si="2"/>
        <v>0</v>
      </c>
    </row>
    <row r="101" spans="1:33" x14ac:dyDescent="0.25">
      <c r="A101" s="49">
        <v>94</v>
      </c>
      <c r="B101" s="38" t="s">
        <v>257</v>
      </c>
      <c r="C101" s="24" t="s">
        <v>258</v>
      </c>
      <c r="D101" s="25" t="s">
        <v>59</v>
      </c>
      <c r="E101" s="26"/>
      <c r="F101" s="27"/>
      <c r="G101" s="27"/>
      <c r="H101" s="27"/>
      <c r="I101" s="27"/>
      <c r="J101" s="27"/>
      <c r="K101" s="27"/>
      <c r="L101" s="27">
        <v>14000</v>
      </c>
      <c r="M101" s="27">
        <v>14000</v>
      </c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8"/>
      <c r="AD101" s="54">
        <f t="shared" si="2"/>
        <v>0</v>
      </c>
    </row>
    <row r="102" spans="1:33" x14ac:dyDescent="0.25">
      <c r="A102" s="49">
        <v>95</v>
      </c>
      <c r="B102" s="38" t="s">
        <v>101</v>
      </c>
      <c r="C102" s="24" t="s">
        <v>102</v>
      </c>
      <c r="D102" s="25" t="s">
        <v>59</v>
      </c>
      <c r="E102" s="26">
        <v>64900</v>
      </c>
      <c r="F102" s="27"/>
      <c r="G102" s="27">
        <v>64900</v>
      </c>
      <c r="H102" s="27"/>
      <c r="I102" s="27"/>
      <c r="J102" s="27">
        <v>70800</v>
      </c>
      <c r="K102" s="27">
        <v>70800</v>
      </c>
      <c r="L102" s="27"/>
      <c r="M102" s="27"/>
      <c r="N102" s="27">
        <f>41300+7700</f>
        <v>49000</v>
      </c>
      <c r="O102" s="27"/>
      <c r="P102" s="27"/>
      <c r="Q102" s="27">
        <v>49000</v>
      </c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8"/>
      <c r="AD102" s="54">
        <f t="shared" si="2"/>
        <v>0</v>
      </c>
    </row>
    <row r="103" spans="1:33" x14ac:dyDescent="0.25">
      <c r="A103" s="49">
        <v>96</v>
      </c>
      <c r="B103" s="55" t="s">
        <v>219</v>
      </c>
      <c r="C103" s="24" t="s">
        <v>220</v>
      </c>
      <c r="D103" s="25" t="s">
        <v>59</v>
      </c>
      <c r="E103" s="26"/>
      <c r="F103" s="27"/>
      <c r="G103" s="27"/>
      <c r="H103" s="27">
        <v>184080</v>
      </c>
      <c r="I103" s="27">
        <v>184080</v>
      </c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8"/>
      <c r="AD103" s="54">
        <f t="shared" si="2"/>
        <v>0</v>
      </c>
    </row>
    <row r="104" spans="1:33" x14ac:dyDescent="0.25">
      <c r="A104" s="49">
        <v>97</v>
      </c>
      <c r="B104" s="38" t="s">
        <v>213</v>
      </c>
      <c r="C104" s="24" t="s">
        <v>214</v>
      </c>
      <c r="D104" s="25" t="s">
        <v>59</v>
      </c>
      <c r="E104" s="26"/>
      <c r="F104" s="27">
        <v>74222</v>
      </c>
      <c r="G104" s="27">
        <v>74222</v>
      </c>
      <c r="H104" s="27"/>
      <c r="I104" s="27"/>
      <c r="J104" s="27"/>
      <c r="K104" s="27"/>
      <c r="L104" s="27"/>
      <c r="M104" s="27"/>
      <c r="N104" s="27">
        <f>13452+44604</f>
        <v>58056</v>
      </c>
      <c r="O104" s="27">
        <f>13452+44604</f>
        <v>58056</v>
      </c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8"/>
      <c r="AD104" s="54">
        <f t="shared" si="2"/>
        <v>0</v>
      </c>
    </row>
    <row r="105" spans="1:33" x14ac:dyDescent="0.25">
      <c r="A105" s="49">
        <v>98</v>
      </c>
      <c r="B105" s="38" t="s">
        <v>41</v>
      </c>
      <c r="C105" s="24" t="s">
        <v>83</v>
      </c>
      <c r="D105" s="25" t="s">
        <v>59</v>
      </c>
      <c r="E105" s="26">
        <v>2500</v>
      </c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8"/>
      <c r="AD105" s="54">
        <f t="shared" si="2"/>
        <v>2500</v>
      </c>
    </row>
    <row r="106" spans="1:33" x14ac:dyDescent="0.25">
      <c r="A106" s="49">
        <v>99</v>
      </c>
      <c r="B106" s="38" t="s">
        <v>134</v>
      </c>
      <c r="C106" s="24" t="s">
        <v>85</v>
      </c>
      <c r="D106" s="25" t="s">
        <v>59</v>
      </c>
      <c r="E106" s="26">
        <v>0</v>
      </c>
      <c r="F106" s="27">
        <f>5495</f>
        <v>5495</v>
      </c>
      <c r="G106" s="27">
        <v>5495</v>
      </c>
      <c r="H106" s="27">
        <v>5495</v>
      </c>
      <c r="I106" s="27">
        <v>5495</v>
      </c>
      <c r="J106" s="27">
        <v>5495</v>
      </c>
      <c r="K106" s="27">
        <v>5495</v>
      </c>
      <c r="L106" s="27">
        <v>5495</v>
      </c>
      <c r="M106" s="27"/>
      <c r="N106" s="27">
        <f>5495</f>
        <v>5495</v>
      </c>
      <c r="O106" s="27">
        <v>10990</v>
      </c>
      <c r="P106" s="27">
        <v>5495</v>
      </c>
      <c r="Q106" s="27">
        <v>5495</v>
      </c>
      <c r="R106" s="27">
        <v>5495</v>
      </c>
      <c r="S106" s="27">
        <v>5495</v>
      </c>
      <c r="T106" s="27">
        <v>5495</v>
      </c>
      <c r="U106" s="27">
        <f>5495</f>
        <v>5495</v>
      </c>
      <c r="V106" s="27"/>
      <c r="W106" s="27"/>
      <c r="X106" s="27"/>
      <c r="Y106" s="27"/>
      <c r="Z106" s="27"/>
      <c r="AA106" s="27"/>
      <c r="AB106" s="27"/>
      <c r="AC106" s="28"/>
      <c r="AD106" s="54">
        <f t="shared" si="2"/>
        <v>0</v>
      </c>
    </row>
    <row r="107" spans="1:33" x14ac:dyDescent="0.25">
      <c r="A107" s="49">
        <v>100</v>
      </c>
      <c r="B107" s="38" t="s">
        <v>232</v>
      </c>
      <c r="C107" s="24" t="s">
        <v>152</v>
      </c>
      <c r="D107" s="25" t="s">
        <v>59</v>
      </c>
      <c r="E107" s="26">
        <v>0</v>
      </c>
      <c r="F107" s="27"/>
      <c r="G107" s="27"/>
      <c r="H107" s="27">
        <v>59680.15</v>
      </c>
      <c r="I107" s="27">
        <v>59680.15</v>
      </c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8"/>
      <c r="AD107" s="54">
        <f t="shared" si="2"/>
        <v>0</v>
      </c>
    </row>
    <row r="108" spans="1:33" x14ac:dyDescent="0.25">
      <c r="A108" s="49">
        <v>101</v>
      </c>
      <c r="B108" s="38" t="s">
        <v>42</v>
      </c>
      <c r="C108" s="24" t="s">
        <v>84</v>
      </c>
      <c r="D108" s="25" t="s">
        <v>59</v>
      </c>
      <c r="E108" s="26">
        <v>0</v>
      </c>
      <c r="F108" s="27">
        <f>88820+180000+190688</f>
        <v>459508</v>
      </c>
      <c r="G108" s="27">
        <v>268820</v>
      </c>
      <c r="H108" s="27">
        <f>32000+157033+24780</f>
        <v>213813</v>
      </c>
      <c r="I108" s="27">
        <v>379721</v>
      </c>
      <c r="J108" s="27">
        <f>128030+16000</f>
        <v>144030</v>
      </c>
      <c r="K108" s="27">
        <f>168810</f>
        <v>168810</v>
      </c>
      <c r="L108" s="27">
        <f>161805+1914432</f>
        <v>2076237</v>
      </c>
      <c r="M108" s="27">
        <f>161805+957216</f>
        <v>1119021</v>
      </c>
      <c r="N108" s="27">
        <f>77700+49900+3550</f>
        <v>131150</v>
      </c>
      <c r="O108" s="27">
        <v>957216</v>
      </c>
      <c r="P108" s="27">
        <f>36816+6000+29600</f>
        <v>72416</v>
      </c>
      <c r="Q108" s="27">
        <f>127600+75966</f>
        <v>203566</v>
      </c>
      <c r="R108" s="27">
        <f>18408+217804-29500+24000+59000</f>
        <v>289712</v>
      </c>
      <c r="S108" s="27">
        <f>200144.85+89567.15</f>
        <v>289712</v>
      </c>
      <c r="T108" s="27">
        <f>73632+239620+5760+16000</f>
        <v>335012</v>
      </c>
      <c r="U108" s="27">
        <f>313252+21760</f>
        <v>335012</v>
      </c>
      <c r="V108" s="27"/>
      <c r="W108" s="27"/>
      <c r="X108" s="27"/>
      <c r="Y108" s="27"/>
      <c r="Z108" s="27"/>
      <c r="AA108" s="27"/>
      <c r="AB108" s="27"/>
      <c r="AC108" s="28"/>
      <c r="AD108" s="54">
        <f t="shared" si="2"/>
        <v>0</v>
      </c>
      <c r="AF108" s="2"/>
      <c r="AG108" s="34"/>
    </row>
    <row r="109" spans="1:33" x14ac:dyDescent="0.25">
      <c r="A109" s="49">
        <v>102</v>
      </c>
      <c r="B109" s="38" t="s">
        <v>150</v>
      </c>
      <c r="C109" s="24" t="s">
        <v>142</v>
      </c>
      <c r="D109" s="25" t="s">
        <v>59</v>
      </c>
      <c r="E109" s="26">
        <v>0</v>
      </c>
      <c r="F109" s="27">
        <f>52880+59056</f>
        <v>111936</v>
      </c>
      <c r="G109" s="27">
        <f>52880+59056</f>
        <v>111936</v>
      </c>
      <c r="H109" s="27">
        <f>92246+59450</f>
        <v>151696</v>
      </c>
      <c r="I109" s="27">
        <f>92246+59450</f>
        <v>151696</v>
      </c>
      <c r="J109" s="27"/>
      <c r="K109" s="27"/>
      <c r="L109" s="27">
        <v>104000</v>
      </c>
      <c r="M109" s="27">
        <v>104000</v>
      </c>
      <c r="N109" s="27">
        <v>155578</v>
      </c>
      <c r="O109" s="27">
        <v>155578</v>
      </c>
      <c r="P109" s="27"/>
      <c r="Q109" s="27"/>
      <c r="R109" s="27">
        <f>26218</f>
        <v>26218</v>
      </c>
      <c r="S109" s="27"/>
      <c r="T109" s="27">
        <f>104500</f>
        <v>104500</v>
      </c>
      <c r="U109" s="27">
        <f>26218+104500</f>
        <v>130718</v>
      </c>
      <c r="V109" s="27"/>
      <c r="W109" s="27"/>
      <c r="X109" s="27"/>
      <c r="Y109" s="27"/>
      <c r="Z109" s="27"/>
      <c r="AA109" s="27"/>
      <c r="AB109" s="27"/>
      <c r="AC109" s="28"/>
      <c r="AD109" s="54">
        <f t="shared" si="2"/>
        <v>0</v>
      </c>
      <c r="AF109" s="2"/>
      <c r="AG109" s="34"/>
    </row>
    <row r="110" spans="1:33" x14ac:dyDescent="0.25">
      <c r="A110" s="49">
        <v>103</v>
      </c>
      <c r="B110" s="38" t="s">
        <v>166</v>
      </c>
      <c r="C110" s="24" t="s">
        <v>73</v>
      </c>
      <c r="D110" s="25" t="s">
        <v>59</v>
      </c>
      <c r="E110" s="26">
        <v>0</v>
      </c>
      <c r="F110" s="27"/>
      <c r="G110" s="27"/>
      <c r="H110" s="27"/>
      <c r="I110" s="27"/>
      <c r="J110" s="27">
        <f>145113.08</f>
        <v>145113.07999999999</v>
      </c>
      <c r="K110" s="27">
        <v>145113.07999999999</v>
      </c>
      <c r="L110" s="27"/>
      <c r="M110" s="27"/>
      <c r="N110" s="27"/>
      <c r="O110" s="27"/>
      <c r="P110" s="27"/>
      <c r="Q110" s="27"/>
      <c r="R110" s="27">
        <f>123043.32+197304.81</f>
        <v>320348.13</v>
      </c>
      <c r="S110" s="27">
        <v>320348.13</v>
      </c>
      <c r="T110" s="27"/>
      <c r="U110" s="27"/>
      <c r="V110" s="27"/>
      <c r="W110" s="27"/>
      <c r="X110" s="27"/>
      <c r="Y110" s="27"/>
      <c r="Z110" s="27"/>
      <c r="AA110" s="27"/>
      <c r="AB110" s="27"/>
      <c r="AC110" s="28"/>
      <c r="AD110" s="54">
        <f t="shared" si="2"/>
        <v>0</v>
      </c>
    </row>
    <row r="111" spans="1:33" x14ac:dyDescent="0.25">
      <c r="A111" s="49">
        <v>104</v>
      </c>
      <c r="B111" s="38" t="s">
        <v>236</v>
      </c>
      <c r="C111" s="24" t="s">
        <v>107</v>
      </c>
      <c r="D111" s="25" t="s">
        <v>59</v>
      </c>
      <c r="E111" s="26"/>
      <c r="F111" s="27"/>
      <c r="G111" s="27"/>
      <c r="H111" s="27">
        <v>125740.8</v>
      </c>
      <c r="I111" s="27">
        <v>125740.8</v>
      </c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8"/>
      <c r="AD111" s="54">
        <f t="shared" si="2"/>
        <v>0</v>
      </c>
    </row>
    <row r="112" spans="1:33" x14ac:dyDescent="0.25">
      <c r="A112" s="49">
        <v>105</v>
      </c>
      <c r="B112" s="38" t="s">
        <v>109</v>
      </c>
      <c r="C112" s="24" t="s">
        <v>74</v>
      </c>
      <c r="D112" s="25" t="s">
        <v>59</v>
      </c>
      <c r="E112" s="26">
        <v>0</v>
      </c>
      <c r="F112" s="27">
        <v>55692</v>
      </c>
      <c r="G112" s="27">
        <v>55692</v>
      </c>
      <c r="H112" s="27"/>
      <c r="I112" s="27"/>
      <c r="J112" s="27">
        <f>58344</f>
        <v>58344</v>
      </c>
      <c r="K112" s="27">
        <v>58344</v>
      </c>
      <c r="L112" s="27"/>
      <c r="M112" s="27"/>
      <c r="N112" s="27"/>
      <c r="O112" s="27"/>
      <c r="P112" s="27">
        <v>59670</v>
      </c>
      <c r="Q112" s="27">
        <v>59670</v>
      </c>
      <c r="R112" s="27"/>
      <c r="S112" s="27"/>
      <c r="T112" s="27"/>
      <c r="U112" s="27"/>
      <c r="V112" s="27"/>
      <c r="W112" s="27"/>
      <c r="X112" s="27"/>
      <c r="Y112" s="27"/>
      <c r="Z112" s="27"/>
      <c r="AA112" s="27"/>
      <c r="AB112" s="27"/>
      <c r="AC112" s="28"/>
      <c r="AD112" s="54">
        <f t="shared" si="2"/>
        <v>0</v>
      </c>
      <c r="AF112" s="2"/>
    </row>
    <row r="113" spans="1:32" x14ac:dyDescent="0.25">
      <c r="A113" s="49">
        <v>106</v>
      </c>
      <c r="B113" s="38" t="s">
        <v>247</v>
      </c>
      <c r="C113" s="24" t="s">
        <v>249</v>
      </c>
      <c r="D113" s="25" t="s">
        <v>59</v>
      </c>
      <c r="E113" s="26"/>
      <c r="F113" s="27"/>
      <c r="G113" s="27"/>
      <c r="H113" s="27"/>
      <c r="I113" s="27"/>
      <c r="J113" s="27"/>
      <c r="K113" s="27"/>
      <c r="L113" s="27">
        <v>122662.7</v>
      </c>
      <c r="M113" s="27">
        <v>122662.7</v>
      </c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8"/>
      <c r="AD113" s="54">
        <f t="shared" si="2"/>
        <v>0</v>
      </c>
      <c r="AF113" s="2"/>
    </row>
    <row r="114" spans="1:32" x14ac:dyDescent="0.25">
      <c r="A114" s="49">
        <v>107</v>
      </c>
      <c r="B114" s="38" t="s">
        <v>26</v>
      </c>
      <c r="C114" s="24" t="s">
        <v>63</v>
      </c>
      <c r="D114" s="25" t="s">
        <v>57</v>
      </c>
      <c r="E114" s="26">
        <v>0</v>
      </c>
      <c r="F114" s="27">
        <f>5550</f>
        <v>5550</v>
      </c>
      <c r="G114" s="27">
        <v>5550</v>
      </c>
      <c r="H114" s="27"/>
      <c r="I114" s="27"/>
      <c r="J114" s="27">
        <f>119001+22667+124668+45334</f>
        <v>311670</v>
      </c>
      <c r="K114" s="27">
        <f>311670</f>
        <v>311670</v>
      </c>
      <c r="L114" s="27">
        <f>158669+49774+113335</f>
        <v>321778</v>
      </c>
      <c r="M114" s="27"/>
      <c r="N114" s="27">
        <f>136002+136002+113335</f>
        <v>385339</v>
      </c>
      <c r="O114" s="27">
        <f>439440.79</f>
        <v>439440.79</v>
      </c>
      <c r="P114" s="27">
        <f>68001+75000+143001</f>
        <v>286002</v>
      </c>
      <c r="Q114" s="27">
        <f>294778.12+40899.09</f>
        <v>335677.20999999996</v>
      </c>
      <c r="R114" s="27">
        <f>118750+100000+155550</f>
        <v>374300</v>
      </c>
      <c r="S114" s="27">
        <f>336751+100000</f>
        <v>436751</v>
      </c>
      <c r="T114" s="27">
        <f>153500+175000+125000</f>
        <v>453500</v>
      </c>
      <c r="U114" s="27">
        <v>309050</v>
      </c>
      <c r="V114" s="27"/>
      <c r="W114" s="27"/>
      <c r="X114" s="27"/>
      <c r="Y114" s="27"/>
      <c r="Z114" s="27"/>
      <c r="AA114" s="27"/>
      <c r="AB114" s="27"/>
      <c r="AC114" s="28"/>
      <c r="AD114" s="54">
        <f t="shared" si="2"/>
        <v>300000</v>
      </c>
    </row>
    <row r="115" spans="1:32" x14ac:dyDescent="0.25">
      <c r="A115" s="49">
        <v>108</v>
      </c>
      <c r="B115" s="38" t="s">
        <v>116</v>
      </c>
      <c r="C115" s="24" t="s">
        <v>62</v>
      </c>
      <c r="D115" s="25" t="s">
        <v>59</v>
      </c>
      <c r="E115" s="26">
        <v>0</v>
      </c>
      <c r="F115" s="27">
        <f>130693</f>
        <v>130693</v>
      </c>
      <c r="G115" s="27">
        <v>130693</v>
      </c>
      <c r="H115" s="27">
        <f>126000</f>
        <v>126000</v>
      </c>
      <c r="I115" s="27"/>
      <c r="J115" s="27"/>
      <c r="K115" s="27"/>
      <c r="L115" s="27">
        <f>225000</f>
        <v>225000</v>
      </c>
      <c r="M115" s="27">
        <f>126000</f>
        <v>126000</v>
      </c>
      <c r="N115" s="27">
        <f>170760</f>
        <v>170760</v>
      </c>
      <c r="O115" s="27">
        <f>225000</f>
        <v>225000</v>
      </c>
      <c r="P115" s="27">
        <f>77520-56664</f>
        <v>20856</v>
      </c>
      <c r="Q115" s="27">
        <v>170760</v>
      </c>
      <c r="R115" s="27"/>
      <c r="S115" s="27">
        <v>20856</v>
      </c>
      <c r="T115" s="27"/>
      <c r="U115" s="27"/>
      <c r="V115" s="27"/>
      <c r="W115" s="27"/>
      <c r="X115" s="27"/>
      <c r="Y115" s="27"/>
      <c r="Z115" s="27"/>
      <c r="AA115" s="27"/>
      <c r="AB115" s="27"/>
      <c r="AC115" s="28"/>
      <c r="AD115" s="54">
        <f t="shared" si="2"/>
        <v>0</v>
      </c>
    </row>
    <row r="116" spans="1:32" x14ac:dyDescent="0.25">
      <c r="A116" s="49">
        <v>109</v>
      </c>
      <c r="B116" s="38" t="s">
        <v>44</v>
      </c>
      <c r="C116" s="24" t="s">
        <v>87</v>
      </c>
      <c r="D116" s="25" t="s">
        <v>59</v>
      </c>
      <c r="E116" s="26">
        <v>1298</v>
      </c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27"/>
      <c r="AB116" s="27"/>
      <c r="AC116" s="28"/>
      <c r="AD116" s="54">
        <f t="shared" si="2"/>
        <v>1298</v>
      </c>
    </row>
    <row r="117" spans="1:32" x14ac:dyDescent="0.25">
      <c r="A117" s="49">
        <v>110</v>
      </c>
      <c r="B117" s="38" t="s">
        <v>43</v>
      </c>
      <c r="C117" s="24" t="s">
        <v>86</v>
      </c>
      <c r="D117" s="25" t="s">
        <v>59</v>
      </c>
      <c r="E117" s="26">
        <v>0</v>
      </c>
      <c r="F117" s="27"/>
      <c r="G117" s="27"/>
      <c r="H117" s="27">
        <f>54615</f>
        <v>54615</v>
      </c>
      <c r="I117" s="27">
        <v>54615</v>
      </c>
      <c r="J117" s="27">
        <f>52095+40425+7760</f>
        <v>100280</v>
      </c>
      <c r="K117" s="27"/>
      <c r="L117" s="27">
        <f>76250</f>
        <v>76250</v>
      </c>
      <c r="M117" s="27">
        <f>100280</f>
        <v>100280</v>
      </c>
      <c r="N117" s="27">
        <f>54765</f>
        <v>54765</v>
      </c>
      <c r="O117" s="27">
        <v>76250</v>
      </c>
      <c r="P117" s="27">
        <f>6035</f>
        <v>6035</v>
      </c>
      <c r="Q117" s="27">
        <f>60800</f>
        <v>60800</v>
      </c>
      <c r="R117" s="27"/>
      <c r="S117" s="27"/>
      <c r="T117" s="27">
        <f>4175+1245+4725</f>
        <v>10145</v>
      </c>
      <c r="U117" s="27">
        <f>5420</f>
        <v>5420</v>
      </c>
      <c r="V117" s="27"/>
      <c r="W117" s="27"/>
      <c r="X117" s="27"/>
      <c r="Y117" s="27"/>
      <c r="Z117" s="27"/>
      <c r="AA117" s="27"/>
      <c r="AB117" s="27"/>
      <c r="AC117" s="28"/>
      <c r="AD117" s="54">
        <f t="shared" si="2"/>
        <v>4725</v>
      </c>
    </row>
    <row r="118" spans="1:32" x14ac:dyDescent="0.25">
      <c r="A118" s="49">
        <v>111</v>
      </c>
      <c r="B118" s="38" t="s">
        <v>246</v>
      </c>
      <c r="C118" s="24" t="s">
        <v>259</v>
      </c>
      <c r="D118" s="25" t="s">
        <v>59</v>
      </c>
      <c r="E118" s="26"/>
      <c r="F118" s="27"/>
      <c r="G118" s="27"/>
      <c r="H118" s="27"/>
      <c r="I118" s="27"/>
      <c r="J118" s="27"/>
      <c r="K118" s="27"/>
      <c r="L118" s="27">
        <v>111344.8</v>
      </c>
      <c r="M118" s="27"/>
      <c r="N118" s="27"/>
      <c r="O118" s="27">
        <f>111344.8</f>
        <v>111344.8</v>
      </c>
      <c r="P118" s="27"/>
      <c r="Q118" s="27"/>
      <c r="R118" s="27"/>
      <c r="S118" s="27"/>
      <c r="T118" s="27">
        <f>157246.8</f>
        <v>157246.79999999999</v>
      </c>
      <c r="U118" s="27"/>
      <c r="V118" s="27"/>
      <c r="W118" s="27"/>
      <c r="X118" s="27"/>
      <c r="Y118" s="27"/>
      <c r="Z118" s="27"/>
      <c r="AA118" s="27"/>
      <c r="AB118" s="27"/>
      <c r="AC118" s="28"/>
      <c r="AD118" s="54">
        <f t="shared" si="2"/>
        <v>157246.79999999999</v>
      </c>
    </row>
    <row r="119" spans="1:32" x14ac:dyDescent="0.25">
      <c r="A119" s="49">
        <v>112</v>
      </c>
      <c r="B119" s="38" t="s">
        <v>104</v>
      </c>
      <c r="C119" s="24" t="s">
        <v>105</v>
      </c>
      <c r="D119" s="25" t="s">
        <v>59</v>
      </c>
      <c r="E119" s="26">
        <v>0</v>
      </c>
      <c r="F119" s="27">
        <v>110408</v>
      </c>
      <c r="G119" s="27"/>
      <c r="H119" s="27">
        <f>86000</f>
        <v>86000</v>
      </c>
      <c r="I119" s="27">
        <v>110408</v>
      </c>
      <c r="J119" s="27"/>
      <c r="K119" s="27"/>
      <c r="L119" s="27">
        <f>95300</f>
        <v>95300</v>
      </c>
      <c r="M119" s="27">
        <f>181300</f>
        <v>181300</v>
      </c>
      <c r="N119" s="27">
        <f>30400</f>
        <v>30400</v>
      </c>
      <c r="O119" s="27"/>
      <c r="P119" s="27">
        <f>97200</f>
        <v>97200</v>
      </c>
      <c r="Q119" s="27">
        <v>127600</v>
      </c>
      <c r="R119" s="27">
        <f>130400</f>
        <v>130400</v>
      </c>
      <c r="S119" s="27">
        <v>130400</v>
      </c>
      <c r="T119" s="27">
        <f>167900</f>
        <v>167900</v>
      </c>
      <c r="U119" s="27">
        <v>167900</v>
      </c>
      <c r="V119" s="27"/>
      <c r="W119" s="27"/>
      <c r="X119" s="27"/>
      <c r="Y119" s="27"/>
      <c r="Z119" s="27"/>
      <c r="AA119" s="27"/>
      <c r="AB119" s="27"/>
      <c r="AC119" s="28"/>
      <c r="AD119" s="54">
        <f t="shared" si="2"/>
        <v>0</v>
      </c>
    </row>
    <row r="120" spans="1:32" x14ac:dyDescent="0.25">
      <c r="A120" s="49">
        <v>113</v>
      </c>
      <c r="B120" s="38" t="s">
        <v>145</v>
      </c>
      <c r="C120" s="24" t="s">
        <v>142</v>
      </c>
      <c r="D120" s="25" t="s">
        <v>59</v>
      </c>
      <c r="E120" s="26">
        <v>0</v>
      </c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27"/>
      <c r="AB120" s="27"/>
      <c r="AC120" s="28"/>
      <c r="AD120" s="54">
        <f t="shared" si="2"/>
        <v>0</v>
      </c>
    </row>
    <row r="121" spans="1:32" x14ac:dyDescent="0.25">
      <c r="A121" s="49">
        <v>114</v>
      </c>
      <c r="B121" s="38" t="s">
        <v>16</v>
      </c>
      <c r="C121" s="24" t="s">
        <v>63</v>
      </c>
      <c r="D121" s="25" t="s">
        <v>59</v>
      </c>
      <c r="E121" s="26">
        <v>107165</v>
      </c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27"/>
      <c r="AB121" s="27"/>
      <c r="AC121" s="28"/>
      <c r="AD121" s="54">
        <f t="shared" si="2"/>
        <v>107165</v>
      </c>
    </row>
    <row r="122" spans="1:32" x14ac:dyDescent="0.25">
      <c r="A122" s="49">
        <v>115</v>
      </c>
      <c r="B122" s="38" t="s">
        <v>233</v>
      </c>
      <c r="C122" s="24" t="s">
        <v>62</v>
      </c>
      <c r="D122" s="25" t="s">
        <v>59</v>
      </c>
      <c r="E122" s="26"/>
      <c r="F122" s="27"/>
      <c r="G122" s="27"/>
      <c r="H122" s="27">
        <v>4200</v>
      </c>
      <c r="I122" s="27"/>
      <c r="J122" s="27"/>
      <c r="K122" s="27">
        <v>4200</v>
      </c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27"/>
      <c r="AB122" s="27"/>
      <c r="AC122" s="28"/>
      <c r="AD122" s="54">
        <f t="shared" si="2"/>
        <v>0</v>
      </c>
    </row>
    <row r="123" spans="1:32" x14ac:dyDescent="0.25">
      <c r="A123" s="49">
        <v>116</v>
      </c>
      <c r="B123" s="38" t="s">
        <v>221</v>
      </c>
      <c r="C123" s="24" t="s">
        <v>222</v>
      </c>
      <c r="D123" s="25" t="s">
        <v>59</v>
      </c>
      <c r="E123" s="26"/>
      <c r="F123" s="27"/>
      <c r="G123" s="27"/>
      <c r="H123" s="27">
        <v>55000</v>
      </c>
      <c r="I123" s="27">
        <v>55000</v>
      </c>
      <c r="J123" s="27"/>
      <c r="K123" s="27"/>
      <c r="L123" s="27">
        <f>60300</f>
        <v>60300</v>
      </c>
      <c r="M123" s="27"/>
      <c r="N123" s="27"/>
      <c r="O123" s="27"/>
      <c r="P123" s="27"/>
      <c r="Q123" s="27">
        <v>60300</v>
      </c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8"/>
      <c r="AD123" s="54">
        <f t="shared" si="2"/>
        <v>0</v>
      </c>
    </row>
    <row r="124" spans="1:32" x14ac:dyDescent="0.25">
      <c r="A124" s="49">
        <v>117</v>
      </c>
      <c r="B124" s="38" t="s">
        <v>263</v>
      </c>
      <c r="C124" s="24" t="s">
        <v>266</v>
      </c>
      <c r="D124" s="25" t="s">
        <v>59</v>
      </c>
      <c r="E124" s="26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>
        <v>103250</v>
      </c>
      <c r="Q124" s="27">
        <v>103250</v>
      </c>
      <c r="R124" s="27"/>
      <c r="S124" s="27"/>
      <c r="T124" s="27"/>
      <c r="U124" s="27"/>
      <c r="V124" s="27"/>
      <c r="W124" s="27"/>
      <c r="X124" s="27"/>
      <c r="Y124" s="27"/>
      <c r="Z124" s="27"/>
      <c r="AA124" s="27"/>
      <c r="AB124" s="27"/>
      <c r="AC124" s="28"/>
      <c r="AD124" s="54">
        <f t="shared" si="2"/>
        <v>0</v>
      </c>
    </row>
    <row r="125" spans="1:32" x14ac:dyDescent="0.25">
      <c r="A125" s="49">
        <v>118</v>
      </c>
      <c r="B125" s="38" t="s">
        <v>228</v>
      </c>
      <c r="C125" s="24" t="s">
        <v>229</v>
      </c>
      <c r="D125" s="25" t="s">
        <v>59</v>
      </c>
      <c r="E125" s="26"/>
      <c r="F125" s="27"/>
      <c r="G125" s="27"/>
      <c r="H125" s="27">
        <v>86425</v>
      </c>
      <c r="I125" s="27">
        <v>86425</v>
      </c>
      <c r="J125" s="27"/>
      <c r="K125" s="27"/>
      <c r="L125" s="27"/>
      <c r="M125" s="27"/>
      <c r="N125" s="27"/>
      <c r="O125" s="27"/>
      <c r="P125" s="27">
        <f>40140</f>
        <v>40140</v>
      </c>
      <c r="Q125" s="27">
        <v>40140</v>
      </c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8"/>
      <c r="AD125" s="54">
        <f t="shared" si="2"/>
        <v>0</v>
      </c>
    </row>
    <row r="126" spans="1:32" x14ac:dyDescent="0.25">
      <c r="A126" s="49">
        <v>119</v>
      </c>
      <c r="B126" s="38" t="s">
        <v>244</v>
      </c>
      <c r="C126" s="24" t="s">
        <v>118</v>
      </c>
      <c r="D126" s="25" t="s">
        <v>59</v>
      </c>
      <c r="E126" s="26"/>
      <c r="F126" s="27"/>
      <c r="G126" s="27"/>
      <c r="H126" s="27"/>
      <c r="I126" s="27"/>
      <c r="J126" s="27">
        <v>247995.25</v>
      </c>
      <c r="K126" s="27">
        <v>247995.25</v>
      </c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27"/>
      <c r="AB126" s="27"/>
      <c r="AC126" s="28"/>
      <c r="AD126" s="54">
        <f t="shared" si="2"/>
        <v>0</v>
      </c>
    </row>
    <row r="127" spans="1:32" x14ac:dyDescent="0.25">
      <c r="A127" s="49">
        <v>120</v>
      </c>
      <c r="B127" s="38" t="s">
        <v>17</v>
      </c>
      <c r="C127" s="24" t="s">
        <v>62</v>
      </c>
      <c r="D127" s="25" t="s">
        <v>59</v>
      </c>
      <c r="E127" s="26">
        <v>51490</v>
      </c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8"/>
      <c r="AD127" s="54">
        <f t="shared" si="2"/>
        <v>51490</v>
      </c>
    </row>
    <row r="128" spans="1:32" x14ac:dyDescent="0.25">
      <c r="A128" s="49">
        <v>121</v>
      </c>
      <c r="B128" s="38" t="s">
        <v>24</v>
      </c>
      <c r="C128" s="24" t="s">
        <v>88</v>
      </c>
      <c r="D128" s="25" t="s">
        <v>59</v>
      </c>
      <c r="E128" s="26">
        <v>5670.28</v>
      </c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27"/>
      <c r="AB128" s="27"/>
      <c r="AC128" s="28"/>
      <c r="AD128" s="54">
        <f t="shared" si="2"/>
        <v>5670.28</v>
      </c>
    </row>
    <row r="129" spans="1:32" x14ac:dyDescent="0.25">
      <c r="A129" s="49">
        <v>122</v>
      </c>
      <c r="B129" s="38" t="s">
        <v>136</v>
      </c>
      <c r="C129" s="24" t="s">
        <v>65</v>
      </c>
      <c r="D129" s="25" t="s">
        <v>59</v>
      </c>
      <c r="E129" s="26">
        <v>0</v>
      </c>
      <c r="F129" s="27">
        <f>4000</f>
        <v>4000</v>
      </c>
      <c r="G129" s="27"/>
      <c r="H129" s="27">
        <f>7050+1600</f>
        <v>8650</v>
      </c>
      <c r="I129" s="27">
        <v>4000</v>
      </c>
      <c r="J129" s="27"/>
      <c r="K129" s="27">
        <f>8650</f>
        <v>8650</v>
      </c>
      <c r="L129" s="27"/>
      <c r="M129" s="27"/>
      <c r="N129" s="27">
        <f>3950</f>
        <v>3950</v>
      </c>
      <c r="O129" s="27"/>
      <c r="P129" s="27">
        <f>4000</f>
        <v>4000</v>
      </c>
      <c r="Q129" s="27">
        <v>3950</v>
      </c>
      <c r="R129" s="27"/>
      <c r="S129" s="27">
        <v>4000</v>
      </c>
      <c r="T129" s="27"/>
      <c r="U129" s="27"/>
      <c r="V129" s="27"/>
      <c r="W129" s="27"/>
      <c r="X129" s="27"/>
      <c r="Y129" s="27"/>
      <c r="Z129" s="27"/>
      <c r="AA129" s="27"/>
      <c r="AB129" s="27"/>
      <c r="AC129" s="28"/>
      <c r="AD129" s="54">
        <f t="shared" si="2"/>
        <v>0</v>
      </c>
    </row>
    <row r="130" spans="1:32" x14ac:dyDescent="0.25">
      <c r="A130" s="49">
        <v>123</v>
      </c>
      <c r="B130" s="38" t="s">
        <v>251</v>
      </c>
      <c r="C130" s="24" t="s">
        <v>252</v>
      </c>
      <c r="D130" s="25" t="s">
        <v>59</v>
      </c>
      <c r="E130" s="26"/>
      <c r="F130" s="27"/>
      <c r="G130" s="27"/>
      <c r="H130" s="27"/>
      <c r="I130" s="27"/>
      <c r="J130" s="27"/>
      <c r="K130" s="27"/>
      <c r="L130" s="27">
        <f>62820+45600</f>
        <v>108420</v>
      </c>
      <c r="M130" s="27">
        <f>62820+45600</f>
        <v>108420</v>
      </c>
      <c r="N130" s="27"/>
      <c r="O130" s="27"/>
      <c r="P130" s="27">
        <v>77386.2</v>
      </c>
      <c r="Q130" s="27">
        <v>77386.2</v>
      </c>
      <c r="R130" s="27">
        <v>82967.399999999994</v>
      </c>
      <c r="S130" s="27">
        <v>82967.399999999994</v>
      </c>
      <c r="T130" s="27"/>
      <c r="U130" s="27"/>
      <c r="V130" s="27"/>
      <c r="W130" s="27"/>
      <c r="X130" s="27"/>
      <c r="Y130" s="27"/>
      <c r="Z130" s="27"/>
      <c r="AA130" s="27"/>
      <c r="AB130" s="27"/>
      <c r="AC130" s="28"/>
      <c r="AD130" s="54">
        <f t="shared" si="2"/>
        <v>0</v>
      </c>
    </row>
    <row r="131" spans="1:32" x14ac:dyDescent="0.25">
      <c r="A131" s="49">
        <v>124</v>
      </c>
      <c r="B131" s="38" t="s">
        <v>298</v>
      </c>
      <c r="C131" s="24" t="s">
        <v>299</v>
      </c>
      <c r="D131" s="25" t="s">
        <v>59</v>
      </c>
      <c r="E131" s="26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>
        <f>2273.11</f>
        <v>2273.11</v>
      </c>
      <c r="U131" s="27"/>
      <c r="V131" s="27"/>
      <c r="W131" s="27"/>
      <c r="X131" s="27"/>
      <c r="Y131" s="27"/>
      <c r="Z131" s="27"/>
      <c r="AA131" s="27"/>
      <c r="AB131" s="27"/>
      <c r="AC131" s="28"/>
      <c r="AD131" s="54">
        <f t="shared" si="2"/>
        <v>2273.11</v>
      </c>
    </row>
    <row r="132" spans="1:32" x14ac:dyDescent="0.25">
      <c r="A132" s="49">
        <v>125</v>
      </c>
      <c r="B132" s="38" t="s">
        <v>301</v>
      </c>
      <c r="C132" s="24" t="s">
        <v>300</v>
      </c>
      <c r="D132" s="25" t="s">
        <v>59</v>
      </c>
      <c r="E132" s="26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>
        <v>283200</v>
      </c>
      <c r="U132" s="27"/>
      <c r="V132" s="27"/>
      <c r="W132" s="27"/>
      <c r="X132" s="27"/>
      <c r="Y132" s="27"/>
      <c r="Z132" s="27"/>
      <c r="AA132" s="27"/>
      <c r="AB132" s="27"/>
      <c r="AC132" s="28"/>
      <c r="AD132" s="54">
        <f t="shared" si="2"/>
        <v>283200</v>
      </c>
    </row>
    <row r="133" spans="1:32" x14ac:dyDescent="0.25">
      <c r="A133" s="49">
        <v>126</v>
      </c>
      <c r="B133" s="38" t="s">
        <v>291</v>
      </c>
      <c r="C133" s="24" t="s">
        <v>292</v>
      </c>
      <c r="D133" s="25" t="s">
        <v>59</v>
      </c>
      <c r="E133" s="26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>
        <v>4050</v>
      </c>
      <c r="S133" s="27">
        <v>4050</v>
      </c>
      <c r="T133" s="27"/>
      <c r="U133" s="27"/>
      <c r="V133" s="27"/>
      <c r="W133" s="27"/>
      <c r="X133" s="27"/>
      <c r="Y133" s="27"/>
      <c r="Z133" s="27"/>
      <c r="AA133" s="27"/>
      <c r="AB133" s="27"/>
      <c r="AC133" s="28"/>
      <c r="AD133" s="54">
        <f t="shared" si="2"/>
        <v>0</v>
      </c>
    </row>
    <row r="134" spans="1:32" x14ac:dyDescent="0.25">
      <c r="A134" s="49">
        <v>127</v>
      </c>
      <c r="B134" s="38" t="s">
        <v>25</v>
      </c>
      <c r="C134" s="24" t="s">
        <v>62</v>
      </c>
      <c r="D134" s="25" t="s">
        <v>57</v>
      </c>
      <c r="E134" s="26">
        <v>0</v>
      </c>
      <c r="F134" s="27">
        <f>149000</f>
        <v>149000</v>
      </c>
      <c r="G134" s="27">
        <v>149000</v>
      </c>
      <c r="H134" s="27">
        <f>89400</f>
        <v>89400</v>
      </c>
      <c r="I134" s="27"/>
      <c r="J134" s="27"/>
      <c r="K134" s="27"/>
      <c r="L134" s="27">
        <f>39800</f>
        <v>39800</v>
      </c>
      <c r="M134" s="27">
        <f>107642.44</f>
        <v>107642.44</v>
      </c>
      <c r="N134" s="27">
        <f>174300</f>
        <v>174300</v>
      </c>
      <c r="O134" s="27">
        <f>21557.56</f>
        <v>21557.56</v>
      </c>
      <c r="P134" s="27">
        <v>199000</v>
      </c>
      <c r="Q134" s="27">
        <f>174300+199000</f>
        <v>373300</v>
      </c>
      <c r="R134" s="27">
        <f>54800</f>
        <v>54800</v>
      </c>
      <c r="S134" s="27">
        <v>54800</v>
      </c>
      <c r="T134" s="27">
        <f>239000</f>
        <v>239000</v>
      </c>
      <c r="U134" s="27">
        <f>137621.99+101378.01</f>
        <v>239000</v>
      </c>
      <c r="V134" s="27"/>
      <c r="W134" s="27"/>
      <c r="X134" s="27"/>
      <c r="Y134" s="27"/>
      <c r="Z134" s="27"/>
      <c r="AA134" s="27"/>
      <c r="AB134" s="27"/>
      <c r="AC134" s="28"/>
      <c r="AD134" s="54">
        <f t="shared" si="2"/>
        <v>0</v>
      </c>
    </row>
    <row r="135" spans="1:32" x14ac:dyDescent="0.25">
      <c r="A135" s="49">
        <v>128</v>
      </c>
      <c r="B135" s="38" t="s">
        <v>153</v>
      </c>
      <c r="C135" s="24" t="s">
        <v>156</v>
      </c>
      <c r="D135" s="25" t="s">
        <v>59</v>
      </c>
      <c r="E135" s="26">
        <v>0</v>
      </c>
      <c r="F135" s="27">
        <f>94400</f>
        <v>94400</v>
      </c>
      <c r="G135" s="27">
        <v>94400</v>
      </c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8"/>
      <c r="AD135" s="54">
        <f t="shared" si="2"/>
        <v>0</v>
      </c>
    </row>
    <row r="136" spans="1:32" x14ac:dyDescent="0.25">
      <c r="A136" s="49">
        <v>129</v>
      </c>
      <c r="B136" s="39" t="s">
        <v>18</v>
      </c>
      <c r="C136" s="24" t="s">
        <v>62</v>
      </c>
      <c r="D136" s="25" t="s">
        <v>59</v>
      </c>
      <c r="E136" s="26">
        <v>167230.35</v>
      </c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27"/>
      <c r="AB136" s="27"/>
      <c r="AC136" s="28"/>
      <c r="AD136" s="54">
        <f t="shared" si="2"/>
        <v>167230.35</v>
      </c>
    </row>
    <row r="137" spans="1:32" x14ac:dyDescent="0.25">
      <c r="A137" s="49">
        <v>130</v>
      </c>
      <c r="B137" s="38" t="s">
        <v>167</v>
      </c>
      <c r="C137" s="24" t="s">
        <v>163</v>
      </c>
      <c r="D137" s="25" t="s">
        <v>59</v>
      </c>
      <c r="E137" s="26">
        <v>0</v>
      </c>
      <c r="F137" s="27"/>
      <c r="G137" s="27"/>
      <c r="H137" s="27"/>
      <c r="I137" s="27"/>
      <c r="J137" s="27"/>
      <c r="K137" s="27"/>
      <c r="L137" s="27">
        <f>80169.2</f>
        <v>80169.2</v>
      </c>
      <c r="M137" s="27"/>
      <c r="N137" s="27">
        <f>40120</f>
        <v>40120</v>
      </c>
      <c r="O137" s="27">
        <f>80169.2</f>
        <v>80169.2</v>
      </c>
      <c r="P137" s="27"/>
      <c r="Q137" s="27">
        <v>40120</v>
      </c>
      <c r="R137" s="27"/>
      <c r="S137" s="27"/>
      <c r="T137" s="27">
        <f>40120</f>
        <v>40120</v>
      </c>
      <c r="U137" s="27"/>
      <c r="V137" s="27"/>
      <c r="W137" s="27"/>
      <c r="X137" s="27"/>
      <c r="Y137" s="27"/>
      <c r="Z137" s="27"/>
      <c r="AA137" s="27"/>
      <c r="AB137" s="27"/>
      <c r="AC137" s="28"/>
      <c r="AD137" s="54">
        <f t="shared" si="2"/>
        <v>40120</v>
      </c>
    </row>
    <row r="138" spans="1:32" x14ac:dyDescent="0.25">
      <c r="A138" s="49">
        <v>131</v>
      </c>
      <c r="B138" s="38" t="s">
        <v>100</v>
      </c>
      <c r="C138" s="24" t="s">
        <v>62</v>
      </c>
      <c r="D138" s="25" t="s">
        <v>59</v>
      </c>
      <c r="E138" s="26">
        <v>0</v>
      </c>
      <c r="F138" s="27">
        <f>246100</f>
        <v>246100</v>
      </c>
      <c r="G138" s="27">
        <v>246100</v>
      </c>
      <c r="H138" s="27"/>
      <c r="I138" s="27"/>
      <c r="J138" s="27">
        <f>13300</f>
        <v>13300</v>
      </c>
      <c r="K138" s="27"/>
      <c r="L138" s="27">
        <f>188360</f>
        <v>188360</v>
      </c>
      <c r="M138" s="27">
        <f>201660</f>
        <v>201660</v>
      </c>
      <c r="N138" s="27">
        <f>246200+15960</f>
        <v>262160</v>
      </c>
      <c r="O138" s="27"/>
      <c r="P138" s="27">
        <f>131500</f>
        <v>131500</v>
      </c>
      <c r="Q138" s="27">
        <f>262160+131500</f>
        <v>393660</v>
      </c>
      <c r="R138" s="27">
        <f>42860</f>
        <v>42860</v>
      </c>
      <c r="S138" s="27">
        <v>42860</v>
      </c>
      <c r="T138" s="27">
        <f>79700</f>
        <v>79700</v>
      </c>
      <c r="U138" s="27">
        <f>79700</f>
        <v>79700</v>
      </c>
      <c r="V138" s="27"/>
      <c r="W138" s="27"/>
      <c r="X138" s="27"/>
      <c r="Y138" s="27"/>
      <c r="Z138" s="27"/>
      <c r="AA138" s="27"/>
      <c r="AB138" s="27"/>
      <c r="AC138" s="28"/>
      <c r="AD138" s="54">
        <f t="shared" si="2"/>
        <v>0</v>
      </c>
    </row>
    <row r="139" spans="1:32" x14ac:dyDescent="0.25">
      <c r="A139" s="49">
        <v>132</v>
      </c>
      <c r="B139" s="38" t="s">
        <v>119</v>
      </c>
      <c r="C139" s="24" t="s">
        <v>85</v>
      </c>
      <c r="D139" s="25" t="s">
        <v>59</v>
      </c>
      <c r="E139" s="26">
        <v>0</v>
      </c>
      <c r="F139" s="27">
        <v>4500</v>
      </c>
      <c r="G139" s="27">
        <v>4500</v>
      </c>
      <c r="H139" s="27">
        <f>4500</f>
        <v>4500</v>
      </c>
      <c r="I139" s="27">
        <v>4500</v>
      </c>
      <c r="J139" s="27">
        <v>4500</v>
      </c>
      <c r="K139" s="27">
        <f>4500</f>
        <v>4500</v>
      </c>
      <c r="L139" s="27">
        <v>4500</v>
      </c>
      <c r="M139" s="27">
        <f>4500</f>
        <v>4500</v>
      </c>
      <c r="N139" s="27">
        <f>4500</f>
        <v>4500</v>
      </c>
      <c r="O139" s="27">
        <v>4500</v>
      </c>
      <c r="P139" s="27">
        <v>4500</v>
      </c>
      <c r="Q139" s="27">
        <v>4500</v>
      </c>
      <c r="R139" s="27">
        <v>4500</v>
      </c>
      <c r="S139" s="27">
        <v>4500</v>
      </c>
      <c r="T139" s="27">
        <f>4500</f>
        <v>4500</v>
      </c>
      <c r="U139" s="27">
        <v>4500</v>
      </c>
      <c r="V139" s="27"/>
      <c r="W139" s="27"/>
      <c r="X139" s="27"/>
      <c r="Y139" s="27"/>
      <c r="Z139" s="27"/>
      <c r="AA139" s="27"/>
      <c r="AB139" s="27"/>
      <c r="AC139" s="28"/>
      <c r="AD139" s="54">
        <f t="shared" si="2"/>
        <v>0</v>
      </c>
    </row>
    <row r="140" spans="1:32" x14ac:dyDescent="0.25">
      <c r="A140" s="49">
        <v>133</v>
      </c>
      <c r="B140" s="38" t="s">
        <v>113</v>
      </c>
      <c r="C140" s="24" t="s">
        <v>142</v>
      </c>
      <c r="D140" s="25" t="s">
        <v>138</v>
      </c>
      <c r="E140" s="26">
        <v>67732</v>
      </c>
      <c r="F140" s="27">
        <v>0</v>
      </c>
      <c r="G140" s="27">
        <v>67732</v>
      </c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8"/>
      <c r="AD140" s="54">
        <f t="shared" si="2"/>
        <v>0</v>
      </c>
    </row>
    <row r="141" spans="1:32" x14ac:dyDescent="0.25">
      <c r="A141" s="49">
        <v>134</v>
      </c>
      <c r="B141" s="38" t="s">
        <v>212</v>
      </c>
      <c r="C141" s="24" t="s">
        <v>148</v>
      </c>
      <c r="D141" s="25" t="s">
        <v>59</v>
      </c>
      <c r="E141" s="26">
        <v>0</v>
      </c>
      <c r="F141" s="27">
        <v>10000</v>
      </c>
      <c r="G141" s="27">
        <v>10000</v>
      </c>
      <c r="H141" s="27">
        <f>10000</f>
        <v>10000</v>
      </c>
      <c r="I141" s="27">
        <v>10000</v>
      </c>
      <c r="J141" s="27">
        <f>10000</f>
        <v>10000</v>
      </c>
      <c r="K141" s="27">
        <v>10000</v>
      </c>
      <c r="L141" s="27">
        <v>10000</v>
      </c>
      <c r="M141" s="27"/>
      <c r="N141" s="27">
        <v>10000</v>
      </c>
      <c r="O141" s="27">
        <v>20000</v>
      </c>
      <c r="P141" s="27">
        <v>10000</v>
      </c>
      <c r="Q141" s="27">
        <v>10000</v>
      </c>
      <c r="R141" s="27">
        <v>10000</v>
      </c>
      <c r="S141" s="27">
        <v>10000</v>
      </c>
      <c r="T141" s="27">
        <v>10000</v>
      </c>
      <c r="U141" s="27">
        <v>10000</v>
      </c>
      <c r="V141" s="27"/>
      <c r="W141" s="27"/>
      <c r="X141" s="27"/>
      <c r="Y141" s="27"/>
      <c r="Z141" s="27"/>
      <c r="AA141" s="27"/>
      <c r="AB141" s="27"/>
      <c r="AC141" s="28"/>
      <c r="AD141" s="54">
        <f t="shared" si="2"/>
        <v>0</v>
      </c>
    </row>
    <row r="142" spans="1:32" x14ac:dyDescent="0.25">
      <c r="A142" s="49">
        <v>135</v>
      </c>
      <c r="B142" s="38" t="s">
        <v>242</v>
      </c>
      <c r="C142" s="24" t="s">
        <v>243</v>
      </c>
      <c r="D142" s="25" t="s">
        <v>59</v>
      </c>
      <c r="E142" s="26"/>
      <c r="F142" s="27"/>
      <c r="G142" s="27"/>
      <c r="H142" s="27"/>
      <c r="I142" s="27"/>
      <c r="J142" s="27">
        <v>187400</v>
      </c>
      <c r="K142" s="27">
        <v>187400</v>
      </c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8"/>
      <c r="AD142" s="54">
        <f t="shared" si="2"/>
        <v>0</v>
      </c>
    </row>
    <row r="143" spans="1:32" x14ac:dyDescent="0.25">
      <c r="A143" s="49">
        <v>136</v>
      </c>
      <c r="B143" s="38" t="s">
        <v>276</v>
      </c>
      <c r="C143" s="24" t="s">
        <v>277</v>
      </c>
      <c r="D143" s="25" t="s">
        <v>59</v>
      </c>
      <c r="E143" s="26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>
        <v>65000</v>
      </c>
      <c r="Q143" s="27">
        <v>65000</v>
      </c>
      <c r="R143" s="27"/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8"/>
      <c r="AD143" s="54">
        <f t="shared" si="2"/>
        <v>0</v>
      </c>
    </row>
    <row r="144" spans="1:32" x14ac:dyDescent="0.25">
      <c r="A144" s="49">
        <v>137</v>
      </c>
      <c r="B144" s="38" t="s">
        <v>46</v>
      </c>
      <c r="C144" s="24" t="s">
        <v>56</v>
      </c>
      <c r="D144" s="25" t="s">
        <v>59</v>
      </c>
      <c r="E144" s="26">
        <v>51630</v>
      </c>
      <c r="F144" s="27">
        <f>681091.8</f>
        <v>681091.8</v>
      </c>
      <c r="G144" s="27">
        <v>732721.8</v>
      </c>
      <c r="H144" s="27">
        <f>579148.26</f>
        <v>579148.26</v>
      </c>
      <c r="I144" s="27">
        <v>579148.26</v>
      </c>
      <c r="J144" s="27">
        <f>527960+60900</f>
        <v>588860</v>
      </c>
      <c r="K144" s="27">
        <v>588860</v>
      </c>
      <c r="L144" s="27">
        <f>470260.62+240000+15660</f>
        <v>725920.62</v>
      </c>
      <c r="M144" s="27">
        <f>470260.62</f>
        <v>470260.62</v>
      </c>
      <c r="N144" s="27">
        <f>200000+809276.52+26100</f>
        <v>1035376.52</v>
      </c>
      <c r="O144" s="27">
        <f>255660+1009276.52</f>
        <v>1264936.52</v>
      </c>
      <c r="P144" s="27">
        <f>830148.26+156000</f>
        <v>986148.26</v>
      </c>
      <c r="Q144" s="27">
        <f>26100+986148.26</f>
        <v>1012248.26</v>
      </c>
      <c r="R144" s="27">
        <f>703995.9</f>
        <v>703995.9</v>
      </c>
      <c r="S144" s="27">
        <v>703995.9</v>
      </c>
      <c r="T144" s="27">
        <f>560740.62</f>
        <v>560740.62</v>
      </c>
      <c r="U144" s="27">
        <v>560740.62</v>
      </c>
      <c r="V144" s="27"/>
      <c r="W144" s="27"/>
      <c r="X144" s="27"/>
      <c r="Y144" s="27"/>
      <c r="Z144" s="27"/>
      <c r="AA144" s="27"/>
      <c r="AB144" s="27"/>
      <c r="AC144" s="28"/>
      <c r="AD144" s="54">
        <f t="shared" si="2"/>
        <v>0</v>
      </c>
      <c r="AF144" s="2"/>
    </row>
    <row r="145" spans="1:30" x14ac:dyDescent="0.25">
      <c r="A145" s="49">
        <v>138</v>
      </c>
      <c r="B145" s="38" t="s">
        <v>140</v>
      </c>
      <c r="C145" s="24" t="s">
        <v>141</v>
      </c>
      <c r="D145" s="25" t="s">
        <v>59</v>
      </c>
      <c r="E145" s="26">
        <f>57400-4500</f>
        <v>52900</v>
      </c>
      <c r="F145" s="27">
        <f>73520</f>
        <v>73520</v>
      </c>
      <c r="G145" s="27">
        <v>52900</v>
      </c>
      <c r="H145" s="27">
        <v>61000</v>
      </c>
      <c r="I145" s="27">
        <v>73520</v>
      </c>
      <c r="J145" s="27">
        <v>66900</v>
      </c>
      <c r="K145" s="27">
        <v>61000</v>
      </c>
      <c r="L145" s="27">
        <f>114010.5</f>
        <v>114010.5</v>
      </c>
      <c r="M145" s="27">
        <v>66900</v>
      </c>
      <c r="N145" s="27">
        <v>74999.990000000005</v>
      </c>
      <c r="O145" s="27">
        <v>114010.5</v>
      </c>
      <c r="P145" s="27">
        <f>72531.2</f>
        <v>72531.199999999997</v>
      </c>
      <c r="Q145" s="27"/>
      <c r="R145" s="27">
        <f>94673.2</f>
        <v>94673.2</v>
      </c>
      <c r="S145" s="27">
        <v>147531.19</v>
      </c>
      <c r="T145" s="27">
        <f>112977</f>
        <v>112977</v>
      </c>
      <c r="U145" s="27">
        <v>94673.2</v>
      </c>
      <c r="V145" s="27"/>
      <c r="W145" s="27"/>
      <c r="X145" s="27"/>
      <c r="Y145" s="27"/>
      <c r="Z145" s="27"/>
      <c r="AA145" s="27"/>
      <c r="AB145" s="27"/>
      <c r="AC145" s="28"/>
      <c r="AD145" s="54">
        <f t="shared" si="2"/>
        <v>112977.00000000001</v>
      </c>
    </row>
    <row r="146" spans="1:30" x14ac:dyDescent="0.25">
      <c r="A146" s="49">
        <v>139</v>
      </c>
      <c r="B146" s="38" t="s">
        <v>270</v>
      </c>
      <c r="C146" s="24" t="s">
        <v>271</v>
      </c>
      <c r="D146" s="25" t="s">
        <v>59</v>
      </c>
      <c r="E146" s="26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>
        <v>199000</v>
      </c>
      <c r="Q146" s="27"/>
      <c r="R146" s="27"/>
      <c r="S146" s="27">
        <v>199000</v>
      </c>
      <c r="T146" s="27"/>
      <c r="U146" s="27"/>
      <c r="V146" s="27"/>
      <c r="W146" s="27"/>
      <c r="X146" s="27"/>
      <c r="Y146" s="27"/>
      <c r="Z146" s="27"/>
      <c r="AA146" s="27"/>
      <c r="AB146" s="27"/>
      <c r="AC146" s="28"/>
      <c r="AD146" s="54">
        <f t="shared" si="2"/>
        <v>0</v>
      </c>
    </row>
    <row r="147" spans="1:30" x14ac:dyDescent="0.25">
      <c r="A147" s="49">
        <v>140</v>
      </c>
      <c r="B147" s="38" t="s">
        <v>19</v>
      </c>
      <c r="C147" s="24" t="s">
        <v>89</v>
      </c>
      <c r="D147" s="25" t="s">
        <v>59</v>
      </c>
      <c r="E147" s="26">
        <v>0</v>
      </c>
      <c r="F147" s="27">
        <f>135826+66830+150893+1000</f>
        <v>354549</v>
      </c>
      <c r="G147" s="27">
        <v>353549</v>
      </c>
      <c r="H147" s="27">
        <f>159908.97+13140+26986.2</f>
        <v>200035.17</v>
      </c>
      <c r="I147" s="27">
        <v>174048.97</v>
      </c>
      <c r="J147" s="27">
        <f>3032+27150+48211+37972</f>
        <v>116365</v>
      </c>
      <c r="K147" s="27">
        <v>143351.20000000001</v>
      </c>
      <c r="L147" s="27">
        <f>48540+5000.22+20646+16921.5</f>
        <v>91107.72</v>
      </c>
      <c r="M147" s="27">
        <f>91107.72</f>
        <v>91107.72</v>
      </c>
      <c r="N147" s="27">
        <f>45068+113953+12883+12520+71515</f>
        <v>255939</v>
      </c>
      <c r="O147" s="27">
        <v>255939</v>
      </c>
      <c r="P147" s="27">
        <f>34407+3005+9840</f>
        <v>47252</v>
      </c>
      <c r="Q147" s="27">
        <f>37412</f>
        <v>37412</v>
      </c>
      <c r="R147" s="27">
        <f>23784+33402</f>
        <v>57186</v>
      </c>
      <c r="S147" s="27">
        <f>9840+57186</f>
        <v>67026</v>
      </c>
      <c r="T147" s="27">
        <f>163169-1718+6712+3544+3204</f>
        <v>174911</v>
      </c>
      <c r="U147" s="27">
        <f>174911</f>
        <v>174911</v>
      </c>
      <c r="V147" s="27"/>
      <c r="W147" s="27"/>
      <c r="X147" s="27"/>
      <c r="Y147" s="27"/>
      <c r="Z147" s="27"/>
      <c r="AA147" s="27"/>
      <c r="AB147" s="27"/>
      <c r="AC147" s="28"/>
      <c r="AD147" s="54">
        <f t="shared" si="2"/>
        <v>0</v>
      </c>
    </row>
    <row r="148" spans="1:30" x14ac:dyDescent="0.25">
      <c r="A148" s="49">
        <v>141</v>
      </c>
      <c r="B148" s="38" t="s">
        <v>45</v>
      </c>
      <c r="C148" s="24" t="s">
        <v>90</v>
      </c>
      <c r="D148" s="25" t="s">
        <v>59</v>
      </c>
      <c r="E148" s="26">
        <v>0</v>
      </c>
      <c r="F148" s="27"/>
      <c r="G148" s="27"/>
      <c r="H148" s="27">
        <f>3119.4</f>
        <v>3119.4</v>
      </c>
      <c r="I148" s="27">
        <v>3119.4</v>
      </c>
      <c r="J148" s="27">
        <f>79627.75+31809.3</f>
        <v>111437.05</v>
      </c>
      <c r="K148" s="27"/>
      <c r="L148" s="27">
        <f>123139.85+37339.35-15000+1500+2798.25+3169.25</f>
        <v>152946.70000000001</v>
      </c>
      <c r="M148" s="27">
        <f>111437.05</f>
        <v>111437.05</v>
      </c>
      <c r="N148" s="27">
        <f>2801.75+98617.75</f>
        <v>101419.5</v>
      </c>
      <c r="O148" s="27">
        <v>254366.2</v>
      </c>
      <c r="P148" s="27">
        <f>24536.75+7816.7+6601.6-1462+21767.45</f>
        <v>59260.5</v>
      </c>
      <c r="Q148" s="27"/>
      <c r="R148" s="27">
        <f>19560.4+7887.95+24878</f>
        <v>52326.350000000006</v>
      </c>
      <c r="S148" s="27">
        <f>86708.85</f>
        <v>86708.85</v>
      </c>
      <c r="T148" s="27">
        <f>11253.2</f>
        <v>11253.2</v>
      </c>
      <c r="U148" s="27">
        <v>24878</v>
      </c>
      <c r="V148" s="27"/>
      <c r="W148" s="27"/>
      <c r="X148" s="27"/>
      <c r="Y148" s="27"/>
      <c r="Z148" s="27"/>
      <c r="AA148" s="27"/>
      <c r="AB148" s="27"/>
      <c r="AC148" s="28"/>
      <c r="AD148" s="54">
        <f t="shared" si="2"/>
        <v>11253.199999999997</v>
      </c>
    </row>
    <row r="149" spans="1:30" ht="23.25" x14ac:dyDescent="0.25">
      <c r="A149" s="49">
        <v>142</v>
      </c>
      <c r="B149" s="38" t="s">
        <v>269</v>
      </c>
      <c r="C149" s="24" t="s">
        <v>62</v>
      </c>
      <c r="D149" s="25" t="s">
        <v>59</v>
      </c>
      <c r="E149" s="26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>
        <v>153000</v>
      </c>
      <c r="Q149" s="27">
        <v>153000</v>
      </c>
      <c r="R149" s="27"/>
      <c r="S149" s="27"/>
      <c r="T149" s="27"/>
      <c r="U149" s="27"/>
      <c r="V149" s="27"/>
      <c r="W149" s="27"/>
      <c r="X149" s="27"/>
      <c r="Y149" s="27"/>
      <c r="Z149" s="27"/>
      <c r="AA149" s="27"/>
      <c r="AB149" s="27"/>
      <c r="AC149" s="28"/>
      <c r="AD149" s="54">
        <f t="shared" si="2"/>
        <v>0</v>
      </c>
    </row>
    <row r="150" spans="1:30" x14ac:dyDescent="0.25">
      <c r="A150" s="49">
        <v>143</v>
      </c>
      <c r="B150" s="38" t="s">
        <v>264</v>
      </c>
      <c r="C150" s="24" t="s">
        <v>259</v>
      </c>
      <c r="D150" s="25" t="s">
        <v>59</v>
      </c>
      <c r="E150" s="26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>
        <f>81668.73</f>
        <v>81668.73</v>
      </c>
      <c r="Q150" s="27">
        <f>81668.73</f>
        <v>81668.73</v>
      </c>
      <c r="R150" s="27">
        <f>245554.49</f>
        <v>245554.49</v>
      </c>
      <c r="S150" s="27">
        <f>245554.49</f>
        <v>245554.49</v>
      </c>
      <c r="T150" s="27">
        <f>206807.77+43657.76</f>
        <v>250465.53</v>
      </c>
      <c r="U150" s="27">
        <f>250465.53</f>
        <v>250465.53</v>
      </c>
      <c r="V150" s="27"/>
      <c r="W150" s="27"/>
      <c r="X150" s="27"/>
      <c r="Y150" s="27"/>
      <c r="Z150" s="27"/>
      <c r="AA150" s="27"/>
      <c r="AB150" s="27"/>
      <c r="AC150" s="28"/>
      <c r="AD150" s="54">
        <f t="shared" si="2"/>
        <v>0</v>
      </c>
    </row>
    <row r="151" spans="1:30" x14ac:dyDescent="0.25">
      <c r="A151" s="49">
        <v>144</v>
      </c>
      <c r="B151" s="38" t="s">
        <v>21</v>
      </c>
      <c r="C151" s="24" t="s">
        <v>92</v>
      </c>
      <c r="D151" s="25" t="s">
        <v>59</v>
      </c>
      <c r="E151" s="26">
        <v>1800</v>
      </c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27"/>
      <c r="AB151" s="27"/>
      <c r="AC151" s="28"/>
      <c r="AD151" s="54">
        <f t="shared" si="2"/>
        <v>1800</v>
      </c>
    </row>
    <row r="152" spans="1:30" x14ac:dyDescent="0.25">
      <c r="A152" s="49">
        <v>145</v>
      </c>
      <c r="B152" s="38" t="s">
        <v>20</v>
      </c>
      <c r="C152" s="24" t="s">
        <v>91</v>
      </c>
      <c r="D152" s="25" t="s">
        <v>59</v>
      </c>
      <c r="E152" s="26">
        <v>13455</v>
      </c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27"/>
      <c r="AB152" s="27"/>
      <c r="AC152" s="28"/>
      <c r="AD152" s="54">
        <f t="shared" si="2"/>
        <v>13455</v>
      </c>
    </row>
    <row r="153" spans="1:30" x14ac:dyDescent="0.25">
      <c r="A153" s="49">
        <v>146</v>
      </c>
      <c r="B153" s="38" t="s">
        <v>260</v>
      </c>
      <c r="C153" s="24" t="s">
        <v>261</v>
      </c>
      <c r="D153" s="25" t="s">
        <v>59</v>
      </c>
      <c r="E153" s="26"/>
      <c r="F153" s="27"/>
      <c r="G153" s="27"/>
      <c r="H153" s="27"/>
      <c r="I153" s="27"/>
      <c r="J153" s="27"/>
      <c r="K153" s="27"/>
      <c r="L153" s="27"/>
      <c r="M153" s="27"/>
      <c r="N153" s="27">
        <v>35175</v>
      </c>
      <c r="O153" s="27">
        <v>35175</v>
      </c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8"/>
      <c r="AD153" s="54">
        <f t="shared" si="2"/>
        <v>0</v>
      </c>
    </row>
    <row r="154" spans="1:30" x14ac:dyDescent="0.25">
      <c r="A154" s="49">
        <v>147</v>
      </c>
      <c r="B154" s="38" t="s">
        <v>47</v>
      </c>
      <c r="C154" s="24" t="s">
        <v>81</v>
      </c>
      <c r="D154" s="25" t="s">
        <v>59</v>
      </c>
      <c r="E154" s="26">
        <v>114087.88</v>
      </c>
      <c r="F154" s="27"/>
      <c r="G154" s="27"/>
      <c r="H154" s="27"/>
      <c r="I154" s="27">
        <v>114087.88</v>
      </c>
      <c r="J154" s="27">
        <f>22310.04</f>
        <v>22310.04</v>
      </c>
      <c r="K154" s="27"/>
      <c r="L154" s="27">
        <f>239650.75</f>
        <v>239650.75</v>
      </c>
      <c r="M154" s="27"/>
      <c r="N154" s="27"/>
      <c r="O154" s="27">
        <v>261960.79</v>
      </c>
      <c r="P154" s="27">
        <f>64185.54</f>
        <v>64185.54</v>
      </c>
      <c r="Q154" s="27">
        <v>64185.54</v>
      </c>
      <c r="R154" s="27">
        <f>14536.69</f>
        <v>14536.69</v>
      </c>
      <c r="S154" s="27">
        <f>14536.69</f>
        <v>14536.69</v>
      </c>
      <c r="T154" s="27">
        <f>166585.05+45586.73</f>
        <v>212171.78</v>
      </c>
      <c r="U154" s="27">
        <v>212171.78</v>
      </c>
      <c r="V154" s="27"/>
      <c r="W154" s="27"/>
      <c r="X154" s="27"/>
      <c r="Y154" s="27"/>
      <c r="Z154" s="27"/>
      <c r="AA154" s="27"/>
      <c r="AB154" s="30"/>
      <c r="AC154" s="52"/>
      <c r="AD154" s="54">
        <f t="shared" si="2"/>
        <v>0</v>
      </c>
    </row>
    <row r="155" spans="1:30" x14ac:dyDescent="0.25">
      <c r="A155" s="49">
        <v>148</v>
      </c>
      <c r="B155" s="38" t="s">
        <v>215</v>
      </c>
      <c r="C155" s="24" t="s">
        <v>216</v>
      </c>
      <c r="D155" s="25" t="s">
        <v>59</v>
      </c>
      <c r="E155" s="26"/>
      <c r="F155" s="27">
        <v>217525.5</v>
      </c>
      <c r="G155" s="27">
        <v>217525.5</v>
      </c>
      <c r="H155" s="27"/>
      <c r="I155" s="27"/>
      <c r="J155" s="27"/>
      <c r="K155" s="27"/>
      <c r="L155" s="27"/>
      <c r="M155" s="27"/>
      <c r="N155" s="27"/>
      <c r="O155" s="27"/>
      <c r="P155" s="27">
        <v>215557.5</v>
      </c>
      <c r="Q155" s="27">
        <v>215557.5</v>
      </c>
      <c r="R155" s="27"/>
      <c r="S155" s="27"/>
      <c r="T155" s="27"/>
      <c r="U155" s="27"/>
      <c r="V155" s="27"/>
      <c r="W155" s="27"/>
      <c r="X155" s="27"/>
      <c r="Y155" s="27"/>
      <c r="Z155" s="27"/>
      <c r="AA155" s="27"/>
      <c r="AB155" s="30"/>
      <c r="AC155" s="52"/>
      <c r="AD155" s="54">
        <f t="shared" si="2"/>
        <v>0</v>
      </c>
    </row>
    <row r="156" spans="1:30" x14ac:dyDescent="0.25">
      <c r="A156" s="49">
        <v>149</v>
      </c>
      <c r="B156" s="38" t="s">
        <v>22</v>
      </c>
      <c r="C156" s="24" t="s">
        <v>93</v>
      </c>
      <c r="D156" s="25" t="s">
        <v>59</v>
      </c>
      <c r="E156" s="26">
        <v>50088.44</v>
      </c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7"/>
      <c r="AB156" s="27"/>
      <c r="AC156" s="28"/>
      <c r="AD156" s="54">
        <f t="shared" si="2"/>
        <v>50088.44</v>
      </c>
    </row>
    <row r="157" spans="1:30" x14ac:dyDescent="0.25">
      <c r="A157" s="49">
        <v>150</v>
      </c>
      <c r="B157" s="38" t="s">
        <v>23</v>
      </c>
      <c r="C157" s="24" t="s">
        <v>56</v>
      </c>
      <c r="D157" s="25" t="s">
        <v>57</v>
      </c>
      <c r="E157" s="26">
        <v>0</v>
      </c>
      <c r="F157" s="27"/>
      <c r="G157" s="27"/>
      <c r="H157" s="27">
        <f>112195.9</f>
        <v>112195.9</v>
      </c>
      <c r="I157" s="27">
        <v>112195.9</v>
      </c>
      <c r="J157" s="27">
        <f>111905.8</f>
        <v>111905.8</v>
      </c>
      <c r="K157" s="27">
        <v>111905.8</v>
      </c>
      <c r="L157" s="27">
        <f>102147.1</f>
        <v>102147.1</v>
      </c>
      <c r="M157" s="27"/>
      <c r="N157" s="27">
        <f>156421.1</f>
        <v>156421.1</v>
      </c>
      <c r="O157" s="27">
        <v>102147.1</v>
      </c>
      <c r="P157" s="27">
        <v>139446.1</v>
      </c>
      <c r="Q157" s="27">
        <f>295867.2</f>
        <v>295867.2</v>
      </c>
      <c r="R157" s="27">
        <f>108009.29+600</f>
        <v>108609.29</v>
      </c>
      <c r="S157" s="27">
        <v>108609.29</v>
      </c>
      <c r="T157" s="27">
        <f>103732.21</f>
        <v>103732.21</v>
      </c>
      <c r="U157" s="27">
        <v>103732.21</v>
      </c>
      <c r="V157" s="27"/>
      <c r="W157" s="27"/>
      <c r="X157" s="27"/>
      <c r="Y157" s="27"/>
      <c r="Z157" s="27"/>
      <c r="AA157" s="27"/>
      <c r="AB157" s="27"/>
      <c r="AC157" s="28"/>
      <c r="AD157" s="54">
        <f t="shared" si="2"/>
        <v>0</v>
      </c>
    </row>
    <row r="158" spans="1:30" x14ac:dyDescent="0.25">
      <c r="A158" s="49">
        <v>151</v>
      </c>
      <c r="B158" s="38" t="s">
        <v>94</v>
      </c>
      <c r="C158" s="24" t="s">
        <v>73</v>
      </c>
      <c r="D158" s="25" t="s">
        <v>59</v>
      </c>
      <c r="E158" s="26">
        <v>0</v>
      </c>
      <c r="F158" s="27">
        <f>101952</f>
        <v>101952</v>
      </c>
      <c r="G158" s="27">
        <v>101952</v>
      </c>
      <c r="H158" s="27"/>
      <c r="I158" s="27"/>
      <c r="J158" s="27"/>
      <c r="K158" s="27"/>
      <c r="L158" s="27">
        <f>1053032</f>
        <v>1053032</v>
      </c>
      <c r="M158" s="27">
        <v>526516</v>
      </c>
      <c r="N158" s="27"/>
      <c r="O158" s="27">
        <v>526516</v>
      </c>
      <c r="P158" s="27"/>
      <c r="Q158" s="27"/>
      <c r="R158" s="27">
        <f>34515</f>
        <v>34515</v>
      </c>
      <c r="S158" s="27">
        <v>34515</v>
      </c>
      <c r="T158" s="27"/>
      <c r="U158" s="27"/>
      <c r="V158" s="27"/>
      <c r="W158" s="27"/>
      <c r="X158" s="27"/>
      <c r="Y158" s="27"/>
      <c r="Z158" s="27"/>
      <c r="AA158" s="27"/>
      <c r="AB158" s="27"/>
      <c r="AC158" s="28"/>
      <c r="AD158" s="54">
        <f t="shared" si="2"/>
        <v>0</v>
      </c>
    </row>
    <row r="159" spans="1:30" x14ac:dyDescent="0.25">
      <c r="A159" s="49">
        <v>152</v>
      </c>
      <c r="B159" s="12" t="s">
        <v>180</v>
      </c>
      <c r="C159" s="24" t="s">
        <v>181</v>
      </c>
      <c r="D159" s="25" t="s">
        <v>59</v>
      </c>
      <c r="E159" s="26">
        <v>0</v>
      </c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27"/>
      <c r="AB159" s="27"/>
      <c r="AC159" s="28"/>
      <c r="AD159" s="54">
        <f t="shared" si="2"/>
        <v>0</v>
      </c>
    </row>
    <row r="160" spans="1:30" x14ac:dyDescent="0.25">
      <c r="A160" s="49">
        <v>153</v>
      </c>
      <c r="B160" s="38" t="s">
        <v>143</v>
      </c>
      <c r="C160" s="24" t="s">
        <v>157</v>
      </c>
      <c r="D160" s="25" t="s">
        <v>59</v>
      </c>
      <c r="E160" s="26">
        <v>0</v>
      </c>
      <c r="F160" s="27"/>
      <c r="G160" s="27"/>
      <c r="H160" s="27"/>
      <c r="I160" s="27"/>
      <c r="J160" s="27">
        <f>10150+12650</f>
        <v>22800</v>
      </c>
      <c r="K160" s="27"/>
      <c r="L160" s="27">
        <f>56075</f>
        <v>56075</v>
      </c>
      <c r="M160" s="27">
        <f>78875</f>
        <v>78875</v>
      </c>
      <c r="N160" s="27"/>
      <c r="O160" s="27"/>
      <c r="P160" s="27">
        <f>40650</f>
        <v>40650</v>
      </c>
      <c r="Q160" s="27"/>
      <c r="R160" s="27"/>
      <c r="S160" s="27">
        <v>40650</v>
      </c>
      <c r="T160" s="27">
        <f>59150+77400</f>
        <v>136550</v>
      </c>
      <c r="U160" s="27"/>
      <c r="V160" s="27"/>
      <c r="W160" s="27"/>
      <c r="X160" s="27"/>
      <c r="Y160" s="27"/>
      <c r="Z160" s="27"/>
      <c r="AA160" s="27"/>
      <c r="AB160" s="27"/>
      <c r="AC160" s="28"/>
      <c r="AD160" s="54">
        <f t="shared" si="2"/>
        <v>136550</v>
      </c>
    </row>
    <row r="161" spans="1:37" ht="23.25" x14ac:dyDescent="0.25">
      <c r="A161" s="49">
        <v>154</v>
      </c>
      <c r="B161" s="38" t="s">
        <v>253</v>
      </c>
      <c r="C161" s="24" t="s">
        <v>254</v>
      </c>
      <c r="D161" s="25" t="s">
        <v>59</v>
      </c>
      <c r="E161" s="26"/>
      <c r="F161" s="27"/>
      <c r="G161" s="27"/>
      <c r="H161" s="27"/>
      <c r="I161" s="27"/>
      <c r="J161" s="27"/>
      <c r="K161" s="27"/>
      <c r="L161" s="27">
        <v>39049.29</v>
      </c>
      <c r="M161" s="27">
        <v>39049.29</v>
      </c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  <c r="AA161" s="27"/>
      <c r="AB161" s="27"/>
      <c r="AC161" s="28"/>
      <c r="AD161" s="54">
        <f t="shared" si="2"/>
        <v>0</v>
      </c>
    </row>
    <row r="162" spans="1:37" x14ac:dyDescent="0.25">
      <c r="A162" s="49">
        <v>155</v>
      </c>
      <c r="B162" s="38" t="s">
        <v>295</v>
      </c>
      <c r="C162" s="24" t="s">
        <v>296</v>
      </c>
      <c r="D162" s="25" t="s">
        <v>59</v>
      </c>
      <c r="E162" s="26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>
        <v>140560</v>
      </c>
      <c r="S162" s="27"/>
      <c r="T162" s="27"/>
      <c r="U162" s="27">
        <f>140560</f>
        <v>140560</v>
      </c>
      <c r="V162" s="27"/>
      <c r="W162" s="27"/>
      <c r="X162" s="27"/>
      <c r="Y162" s="27"/>
      <c r="Z162" s="27"/>
      <c r="AA162" s="27"/>
      <c r="AB162" s="27"/>
      <c r="AC162" s="28"/>
      <c r="AD162" s="54">
        <f t="shared" si="2"/>
        <v>0</v>
      </c>
    </row>
    <row r="163" spans="1:37" ht="15.75" thickBot="1" x14ac:dyDescent="0.3">
      <c r="A163" s="49">
        <v>156</v>
      </c>
      <c r="B163" s="38" t="s">
        <v>172</v>
      </c>
      <c r="C163" s="24" t="s">
        <v>142</v>
      </c>
      <c r="D163" s="25" t="s">
        <v>138</v>
      </c>
      <c r="E163" s="26">
        <v>0</v>
      </c>
      <c r="F163" s="27">
        <v>107527.5</v>
      </c>
      <c r="G163" s="27"/>
      <c r="H163" s="27">
        <f>35700</f>
        <v>35700</v>
      </c>
      <c r="I163" s="27">
        <v>107527.5</v>
      </c>
      <c r="J163" s="27"/>
      <c r="K163" s="27">
        <v>35700</v>
      </c>
      <c r="L163" s="27"/>
      <c r="M163" s="27"/>
      <c r="N163" s="27">
        <f>35990.13</f>
        <v>35990.129999999997</v>
      </c>
      <c r="O163" s="27"/>
      <c r="P163" s="27">
        <f>87817.99</f>
        <v>87817.99</v>
      </c>
      <c r="Q163" s="27">
        <f>35990.13+87817.99</f>
        <v>123808.12</v>
      </c>
      <c r="R163" s="27">
        <f>47189.4</f>
        <v>47189.4</v>
      </c>
      <c r="S163" s="27">
        <v>47189.4</v>
      </c>
      <c r="T163" s="27">
        <f>111156.2</f>
        <v>111156.2</v>
      </c>
      <c r="U163" s="27">
        <v>111156.2</v>
      </c>
      <c r="V163" s="27"/>
      <c r="W163" s="27"/>
      <c r="X163" s="27"/>
      <c r="Y163" s="27"/>
      <c r="Z163" s="27"/>
      <c r="AA163" s="27"/>
      <c r="AB163" s="27"/>
      <c r="AC163" s="28"/>
      <c r="AD163" s="54">
        <f t="shared" si="2"/>
        <v>0</v>
      </c>
    </row>
    <row r="164" spans="1:37" ht="15.75" thickBot="1" x14ac:dyDescent="0.3">
      <c r="A164" s="62"/>
      <c r="B164" s="63"/>
      <c r="C164" s="63"/>
      <c r="D164" s="63"/>
      <c r="E164" s="50">
        <f t="shared" ref="E164:O164" si="3">SUM(E8:E163)</f>
        <v>3564882.1799999997</v>
      </c>
      <c r="F164" s="51">
        <f t="shared" si="3"/>
        <v>6318946.9799999995</v>
      </c>
      <c r="G164" s="51">
        <f t="shared" si="3"/>
        <v>5684102.4099999992</v>
      </c>
      <c r="H164" s="51">
        <f t="shared" si="3"/>
        <v>6510127.46</v>
      </c>
      <c r="I164" s="51">
        <f t="shared" si="3"/>
        <v>6563561.6399999997</v>
      </c>
      <c r="J164" s="51">
        <f t="shared" si="3"/>
        <v>5315971.96</v>
      </c>
      <c r="K164" s="51">
        <f t="shared" si="3"/>
        <v>5524802.0199999996</v>
      </c>
      <c r="L164" s="51">
        <f t="shared" si="3"/>
        <v>10270088.399999999</v>
      </c>
      <c r="M164" s="51">
        <f t="shared" si="3"/>
        <v>6938597.5999999996</v>
      </c>
      <c r="N164" s="51">
        <f t="shared" si="3"/>
        <v>7042316.6399999997</v>
      </c>
      <c r="O164" s="51">
        <f t="shared" si="3"/>
        <v>8647677.4900000002</v>
      </c>
      <c r="P164" s="51">
        <f t="shared" ref="P164:AD164" si="4">SUM(P8:P163)</f>
        <v>7200777.0100000007</v>
      </c>
      <c r="Q164" s="51">
        <f t="shared" si="4"/>
        <v>9185581.2999999989</v>
      </c>
      <c r="R164" s="51">
        <f t="shared" si="4"/>
        <v>6749246.7700000014</v>
      </c>
      <c r="S164" s="51">
        <f t="shared" si="4"/>
        <v>7386571.5100000026</v>
      </c>
      <c r="T164" s="51">
        <f t="shared" si="4"/>
        <v>7192926.7700000014</v>
      </c>
      <c r="U164" s="51">
        <f t="shared" si="4"/>
        <v>6232327.8900000006</v>
      </c>
      <c r="V164" s="51">
        <f t="shared" si="4"/>
        <v>0</v>
      </c>
      <c r="W164" s="51">
        <f t="shared" si="4"/>
        <v>0</v>
      </c>
      <c r="X164" s="51">
        <f t="shared" si="4"/>
        <v>0</v>
      </c>
      <c r="Y164" s="51">
        <f t="shared" si="4"/>
        <v>0</v>
      </c>
      <c r="Z164" s="51">
        <f t="shared" si="4"/>
        <v>0</v>
      </c>
      <c r="AA164" s="51">
        <f t="shared" si="4"/>
        <v>0</v>
      </c>
      <c r="AB164" s="51">
        <f t="shared" si="4"/>
        <v>0</v>
      </c>
      <c r="AC164" s="18">
        <f t="shared" si="4"/>
        <v>0</v>
      </c>
      <c r="AD164" s="14">
        <f t="shared" si="4"/>
        <v>4002062.3099999996</v>
      </c>
      <c r="AF164" s="2">
        <f>AD164-4002062.31</f>
        <v>0</v>
      </c>
      <c r="AG164" s="2">
        <f>AF164-AF39</f>
        <v>0</v>
      </c>
    </row>
    <row r="165" spans="1:37" x14ac:dyDescent="0.25">
      <c r="A165" s="1"/>
      <c r="B165" s="1"/>
      <c r="C165" s="1"/>
      <c r="D165" s="1"/>
      <c r="E165" s="8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 t="s">
        <v>128</v>
      </c>
      <c r="AF165" t="s">
        <v>146</v>
      </c>
    </row>
    <row r="166" spans="1:37" x14ac:dyDescent="0.25">
      <c r="A166" s="3"/>
      <c r="B166" s="4"/>
      <c r="C166" s="4"/>
      <c r="D166" s="4"/>
      <c r="E166" s="9"/>
      <c r="F166" s="13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13"/>
      <c r="AF166" s="2">
        <f>T164-7192926.77</f>
        <v>0</v>
      </c>
      <c r="AI166" s="37">
        <f>AD164-1723709.23</f>
        <v>2278353.0799999996</v>
      </c>
      <c r="AJ166" s="37">
        <f>AD164-AI166</f>
        <v>1723709.23</v>
      </c>
      <c r="AK166" s="37">
        <f>AD164-3190654.03</f>
        <v>811408.2799999998</v>
      </c>
    </row>
    <row r="167" spans="1:37" x14ac:dyDescent="0.25"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F167" s="2"/>
    </row>
    <row r="168" spans="1:37" x14ac:dyDescent="0.25">
      <c r="AF168" s="37"/>
    </row>
    <row r="169" spans="1:37" x14ac:dyDescent="0.25">
      <c r="AF169" s="37"/>
      <c r="AG169" s="37"/>
    </row>
    <row r="170" spans="1:37" x14ac:dyDescent="0.25">
      <c r="B170" s="10" t="s">
        <v>48</v>
      </c>
      <c r="C170" s="64" t="s">
        <v>95</v>
      </c>
      <c r="D170" s="64"/>
      <c r="E170" s="65" t="s">
        <v>111</v>
      </c>
      <c r="F170" s="65"/>
      <c r="AF170" s="37"/>
    </row>
    <row r="171" spans="1:37" ht="24.75" customHeight="1" x14ac:dyDescent="0.35">
      <c r="A171" s="6"/>
      <c r="B171" s="20" t="s">
        <v>49</v>
      </c>
      <c r="C171" s="56" t="s">
        <v>96</v>
      </c>
      <c r="D171" s="56"/>
      <c r="E171" s="57" t="s">
        <v>110</v>
      </c>
      <c r="F171" s="57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</row>
    <row r="172" spans="1:37" x14ac:dyDescent="0.25">
      <c r="A172" s="6"/>
      <c r="B172" s="19" t="s">
        <v>50</v>
      </c>
      <c r="C172" s="58" t="s">
        <v>97</v>
      </c>
      <c r="D172" s="58"/>
      <c r="E172" s="59" t="s">
        <v>112</v>
      </c>
      <c r="F172" s="59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</row>
  </sheetData>
  <mergeCells count="10">
    <mergeCell ref="C171:D171"/>
    <mergeCell ref="E171:F171"/>
    <mergeCell ref="C172:D172"/>
    <mergeCell ref="E172:F172"/>
    <mergeCell ref="A1:AD1"/>
    <mergeCell ref="A2:AD2"/>
    <mergeCell ref="A3:AD3"/>
    <mergeCell ref="A164:D164"/>
    <mergeCell ref="C170:D170"/>
    <mergeCell ref="E170:F170"/>
  </mergeCells>
  <pageMargins left="0.70866141732283472" right="0.70866141732283472" top="0.74803149606299213" bottom="0.74803149606299213" header="0.31496062992125984" footer="0.31496062992125984"/>
  <pageSetup paperSize="5" scale="63" orientation="landscape" horizontalDpi="4294967293" verticalDpi="0" r:id="rId1"/>
  <rowBreaks count="1" manualBreakCount="1">
    <brk id="98" max="29" man="1"/>
  </rowBreaks>
  <colBreaks count="1" manualBreakCount="1">
    <brk id="30" max="11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Agosto</vt:lpstr>
      <vt:lpstr>Agosto!Área_de_impresión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Méndez</dc:creator>
  <cp:lastModifiedBy>ADMIN HRILLB</cp:lastModifiedBy>
  <cp:lastPrinted>2024-07-02T19:48:05Z</cp:lastPrinted>
  <dcterms:created xsi:type="dcterms:W3CDTF">2019-01-22T14:49:02Z</dcterms:created>
  <dcterms:modified xsi:type="dcterms:W3CDTF">2025-09-16T23:45:51Z</dcterms:modified>
</cp:coreProperties>
</file>