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 HRILLB\Documents\"/>
    </mc:Choice>
  </mc:AlternateContent>
  <bookViews>
    <workbookView xWindow="0" yWindow="0" windowWidth="28800" windowHeight="12435"/>
  </bookViews>
  <sheets>
    <sheet name="CUENTAS POR PAGAR" sheetId="1" r:id="rId1"/>
  </sheets>
  <definedNames>
    <definedName name="_xlnm.Print_Area" localSheetId="0">'CUENTAS POR PAGAR'!$A$1:$V$67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V7" i="1" l="1"/>
  <c r="L8" i="1"/>
  <c r="L50" i="1" s="1"/>
  <c r="M8" i="1"/>
  <c r="N8" i="1"/>
  <c r="N50" i="1" s="1"/>
  <c r="O8" i="1"/>
  <c r="R8" i="1"/>
  <c r="U8" i="1"/>
  <c r="O9" i="1"/>
  <c r="V9" i="1"/>
  <c r="L10" i="1"/>
  <c r="M10" i="1"/>
  <c r="V10" i="1" s="1"/>
  <c r="N10" i="1"/>
  <c r="O10" i="1"/>
  <c r="O11" i="1"/>
  <c r="V11" i="1"/>
  <c r="E12" i="1"/>
  <c r="V12" i="1" s="1"/>
  <c r="G13" i="1"/>
  <c r="V13" i="1" s="1"/>
  <c r="H13" i="1"/>
  <c r="K13" i="1"/>
  <c r="K50" i="1" s="1"/>
  <c r="L13" i="1"/>
  <c r="M13" i="1"/>
  <c r="N13" i="1"/>
  <c r="O13" i="1"/>
  <c r="O50" i="1" s="1"/>
  <c r="P13" i="1"/>
  <c r="R13" i="1"/>
  <c r="T13" i="1"/>
  <c r="V14" i="1"/>
  <c r="V15" i="1"/>
  <c r="E16" i="1"/>
  <c r="T16" i="1"/>
  <c r="T50" i="1" s="1"/>
  <c r="V16" i="1"/>
  <c r="L17" i="1"/>
  <c r="N17" i="1"/>
  <c r="O17" i="1"/>
  <c r="V17" i="1"/>
  <c r="V18" i="1"/>
  <c r="E19" i="1"/>
  <c r="V19" i="1"/>
  <c r="V20" i="1"/>
  <c r="E21" i="1"/>
  <c r="V21" i="1" s="1"/>
  <c r="V22" i="1"/>
  <c r="H23" i="1"/>
  <c r="V23" i="1" s="1"/>
  <c r="I23" i="1"/>
  <c r="M23" i="1"/>
  <c r="N23" i="1"/>
  <c r="O23" i="1"/>
  <c r="S23" i="1"/>
  <c r="S50" i="1" s="1"/>
  <c r="U23" i="1"/>
  <c r="V24" i="1"/>
  <c r="V25" i="1"/>
  <c r="V26" i="1"/>
  <c r="L27" i="1"/>
  <c r="O27" i="1"/>
  <c r="V27" i="1"/>
  <c r="H28" i="1"/>
  <c r="L28" i="1"/>
  <c r="M28" i="1"/>
  <c r="V28" i="1" s="1"/>
  <c r="N28" i="1"/>
  <c r="O28" i="1"/>
  <c r="U28" i="1"/>
  <c r="N29" i="1"/>
  <c r="V29" i="1" s="1"/>
  <c r="O29" i="1"/>
  <c r="V30" i="1"/>
  <c r="V31" i="1"/>
  <c r="V32" i="1"/>
  <c r="I33" i="1"/>
  <c r="I50" i="1" s="1"/>
  <c r="O33" i="1"/>
  <c r="S33" i="1"/>
  <c r="K34" i="1"/>
  <c r="V34" i="1" s="1"/>
  <c r="L34" i="1"/>
  <c r="M34" i="1"/>
  <c r="N34" i="1"/>
  <c r="O34" i="1"/>
  <c r="R34" i="1"/>
  <c r="S34" i="1"/>
  <c r="E35" i="1"/>
  <c r="V35" i="1"/>
  <c r="V36" i="1"/>
  <c r="L37" i="1"/>
  <c r="O37" i="1"/>
  <c r="V37" i="1" s="1"/>
  <c r="V38" i="1"/>
  <c r="V39" i="1"/>
  <c r="M40" i="1"/>
  <c r="N40" i="1"/>
  <c r="V40" i="1" s="1"/>
  <c r="O40" i="1"/>
  <c r="V41" i="1"/>
  <c r="I42" i="1"/>
  <c r="V42" i="1" s="1"/>
  <c r="M42" i="1"/>
  <c r="N42" i="1"/>
  <c r="O42" i="1"/>
  <c r="Q42" i="1"/>
  <c r="Q50" i="1" s="1"/>
  <c r="O43" i="1"/>
  <c r="V43" i="1"/>
  <c r="H44" i="1"/>
  <c r="V44" i="1" s="1"/>
  <c r="L44" i="1"/>
  <c r="M44" i="1"/>
  <c r="N44" i="1"/>
  <c r="O44" i="1"/>
  <c r="R44" i="1"/>
  <c r="N45" i="1"/>
  <c r="V45" i="1" s="1"/>
  <c r="O45" i="1"/>
  <c r="Q45" i="1"/>
  <c r="M46" i="1"/>
  <c r="V46" i="1" s="1"/>
  <c r="O46" i="1"/>
  <c r="E47" i="1"/>
  <c r="V47" i="1"/>
  <c r="E48" i="1"/>
  <c r="V48" i="1"/>
  <c r="E49" i="1"/>
  <c r="V49" i="1"/>
  <c r="E50" i="1"/>
  <c r="F50" i="1"/>
  <c r="H50" i="1"/>
  <c r="J50" i="1"/>
  <c r="M50" i="1"/>
  <c r="P50" i="1"/>
  <c r="R50" i="1"/>
  <c r="U50" i="1"/>
  <c r="I308" i="1"/>
  <c r="I537" i="1"/>
  <c r="I889" i="1"/>
  <c r="G50" i="1" l="1"/>
  <c r="V8" i="1"/>
  <c r="V33" i="1"/>
  <c r="V50" i="1" s="1"/>
  <c r="E63" i="1" s="1"/>
  <c r="E65" i="1" s="1"/>
</calcChain>
</file>

<file path=xl/sharedStrings.xml><?xml version="1.0" encoding="utf-8"?>
<sst xmlns="http://schemas.openxmlformats.org/spreadsheetml/2006/main" count="224" uniqueCount="171">
  <si>
    <t>G198+=G197+G199</t>
  </si>
  <si>
    <t>DEUDA AÑO ACTUAL</t>
  </si>
  <si>
    <t xml:space="preserve">DEUDA AÑOS ANTERIORES </t>
  </si>
  <si>
    <t xml:space="preserve"> </t>
  </si>
  <si>
    <t>DEUDA GENERAL</t>
  </si>
  <si>
    <t>Director</t>
  </si>
  <si>
    <t>Administrador</t>
  </si>
  <si>
    <t xml:space="preserve">Enc. Depto. De Contabilidad </t>
  </si>
  <si>
    <t>DR. Newton Solano</t>
  </si>
  <si>
    <t>Dr. Newton Solano</t>
  </si>
  <si>
    <t>Lic. Jean Flores</t>
  </si>
  <si>
    <t>Lic. Jenniffer Rodriguez</t>
  </si>
  <si>
    <t>Aprobado Por</t>
  </si>
  <si>
    <t>Aprobado Por:</t>
  </si>
  <si>
    <t>Revisado Por:</t>
  </si>
  <si>
    <t>Preparado Por</t>
  </si>
  <si>
    <t xml:space="preserve">TOTAL GENERAL </t>
  </si>
  <si>
    <t>VS</t>
  </si>
  <si>
    <t>MATERIAL DE INFORMATICA</t>
  </si>
  <si>
    <t>ULTRACOMPUTERS</t>
  </si>
  <si>
    <t>43</t>
  </si>
  <si>
    <t>ARTICULOS DIVERSOS</t>
  </si>
  <si>
    <t>TDA. CUCHA</t>
  </si>
  <si>
    <t>42</t>
  </si>
  <si>
    <t>PLASTICO Y UT. DE COCINA</t>
  </si>
  <si>
    <t>TDA. LAS MARGARITAS</t>
  </si>
  <si>
    <t>41</t>
  </si>
  <si>
    <t>INSTALACION DE LUCES</t>
  </si>
  <si>
    <t>TARGET-LUX</t>
  </si>
  <si>
    <t>40</t>
  </si>
  <si>
    <t>ALIMENTOS</t>
  </si>
  <si>
    <t>SUPLITODO RD GAMVESA</t>
  </si>
  <si>
    <t>39</t>
  </si>
  <si>
    <t>COMBUSTIBLES</t>
  </si>
  <si>
    <t>SUPER ESTACION MAO</t>
  </si>
  <si>
    <t>38</t>
  </si>
  <si>
    <t>ALIMENTOS,MAT.PLASTICO Y DE LIMP.</t>
  </si>
  <si>
    <t>SUPERMERCADO MOREL</t>
  </si>
  <si>
    <t>37</t>
  </si>
  <si>
    <t>FR</t>
  </si>
  <si>
    <t>MEDICAMENTOS</t>
  </si>
  <si>
    <t>SILVER PHARMA,SRL</t>
  </si>
  <si>
    <t>36</t>
  </si>
  <si>
    <t>SERCLAMED,SRL</t>
  </si>
  <si>
    <t>35</t>
  </si>
  <si>
    <t>RICO PAN</t>
  </si>
  <si>
    <t>34</t>
  </si>
  <si>
    <t>REMIFAR COMERCIAL</t>
  </si>
  <si>
    <t>33</t>
  </si>
  <si>
    <t>MANT.EQ. TRANSPORTE</t>
  </si>
  <si>
    <t>Repuestos Danilo Santos</t>
  </si>
  <si>
    <t>32</t>
  </si>
  <si>
    <t>ELECTRODOMESTICOS</t>
  </si>
  <si>
    <t>PLAZA VALVERDE, SRL</t>
  </si>
  <si>
    <t>31</t>
  </si>
  <si>
    <t>OXIGENOS MEDICO</t>
  </si>
  <si>
    <t>OXIGENOS EL CHINO</t>
  </si>
  <si>
    <t>30</t>
  </si>
  <si>
    <t>ALQUILRES</t>
  </si>
  <si>
    <t>MULTI SERVICIOS MAO</t>
  </si>
  <si>
    <t>29</t>
  </si>
  <si>
    <t xml:space="preserve">UTENSILIOS DE COCINA </t>
  </si>
  <si>
    <t>MULTICENTRO EL MANA</t>
  </si>
  <si>
    <t>28</t>
  </si>
  <si>
    <t>MIX AIR DOMINICANA, SRL.</t>
  </si>
  <si>
    <t>27</t>
  </si>
  <si>
    <t>SERVICIO DE ALIMENTACION</t>
  </si>
  <si>
    <t>LUIS MIGUEL ESTEVEZ</t>
  </si>
  <si>
    <t>26</t>
  </si>
  <si>
    <t>COMPRA DE SANGRE</t>
  </si>
  <si>
    <t>LAB.CLINICO MARIA F.M</t>
  </si>
  <si>
    <t>25</t>
  </si>
  <si>
    <t>REACTIVO DE LABORATORIO</t>
  </si>
  <si>
    <t>LAB. BIOMEDICA</t>
  </si>
  <si>
    <t>24</t>
  </si>
  <si>
    <t>SERVICIOS DE ALIMETACION</t>
  </si>
  <si>
    <t>KENNY JOEL JIMENEZ REYES</t>
  </si>
  <si>
    <t>23</t>
  </si>
  <si>
    <t>EQUIPO DE OFICINAS</t>
  </si>
  <si>
    <t>KARYBERTH TECNOLOGY</t>
  </si>
  <si>
    <t>22</t>
  </si>
  <si>
    <t>HABLADOR EN ACRILICO</t>
  </si>
  <si>
    <t>JAYCO BOUTIQUE</t>
  </si>
  <si>
    <t>21</t>
  </si>
  <si>
    <t>MANT.EQ.LABORATORIO</t>
  </si>
  <si>
    <t>JOSE FERNANDEZ</t>
  </si>
  <si>
    <t>20</t>
  </si>
  <si>
    <t>IMPRESOS</t>
  </si>
  <si>
    <t>IMPRESOS R&amp;R</t>
  </si>
  <si>
    <t>19</t>
  </si>
  <si>
    <t>HNOS.PIMENTEL</t>
  </si>
  <si>
    <t>18</t>
  </si>
  <si>
    <t>INSUMOS DE LABORATORIO</t>
  </si>
  <si>
    <t>HOSPIFAR,SRL</t>
  </si>
  <si>
    <t>17</t>
  </si>
  <si>
    <t>GRAFINOR</t>
  </si>
  <si>
    <t>16</t>
  </si>
  <si>
    <t>UNIFORMES</t>
  </si>
  <si>
    <t>FHEYAMS SERVICES SUPPLIER</t>
  </si>
  <si>
    <t>15</t>
  </si>
  <si>
    <t>SUM.FLORES DIA DE DUARTE</t>
  </si>
  <si>
    <t>EVELYN FLOR</t>
  </si>
  <si>
    <t>14</t>
  </si>
  <si>
    <t>EDITORA PUNTO CENTRAL</t>
  </si>
  <si>
    <t>13</t>
  </si>
  <si>
    <t>MATERIAL DE INFORAMATICA</t>
  </si>
  <si>
    <t>COMPUTINTA</t>
  </si>
  <si>
    <t>12</t>
  </si>
  <si>
    <t>EQUIPO MEDICO</t>
  </si>
  <si>
    <t>CIRCUIMED</t>
  </si>
  <si>
    <t>11</t>
  </si>
  <si>
    <t>ELABORACION DE CAUNTER</t>
  </si>
  <si>
    <t>CELCA DISPLAY SRL</t>
  </si>
  <si>
    <t>10</t>
  </si>
  <si>
    <t>ELECTRODOMESTICO</t>
  </si>
  <si>
    <t>CENTRO PLAZA LA FERIA</t>
  </si>
  <si>
    <t>9</t>
  </si>
  <si>
    <t>CENTRO MEDICO</t>
  </si>
  <si>
    <t>8</t>
  </si>
  <si>
    <t>CETIOSA,EIRL</t>
  </si>
  <si>
    <t>7</t>
  </si>
  <si>
    <t>CARNES DE CERDO Y RES</t>
  </si>
  <si>
    <t>CARNICERIA DARIO</t>
  </si>
  <si>
    <t>6</t>
  </si>
  <si>
    <t>LLENADO DE EXTINTORES</t>
  </si>
  <si>
    <t>ANEURYS CRESPO</t>
  </si>
  <si>
    <t>5</t>
  </si>
  <si>
    <t>SER. ALIMENTACION</t>
  </si>
  <si>
    <t>ABREU LANTIGUA EVENTS</t>
  </si>
  <si>
    <t>4</t>
  </si>
  <si>
    <t>AGUA EMBOTELLADAS</t>
  </si>
  <si>
    <t>AGUA FARES</t>
  </si>
  <si>
    <t>3</t>
  </si>
  <si>
    <t>MATERIALES FERRETEROS</t>
  </si>
  <si>
    <t>A&amp;M PLOMERIA Y ELECTRICIDAD</t>
  </si>
  <si>
    <t>2</t>
  </si>
  <si>
    <t>ALQUILERES DE SILLAS</t>
  </si>
  <si>
    <t>ALQUILERES JEREZ</t>
  </si>
  <si>
    <t>1</t>
  </si>
  <si>
    <t>TOTAL ADEUDA</t>
  </si>
  <si>
    <t>MONTO AL 31 DICIEMBRE  2024</t>
  </si>
  <si>
    <t>MONTO AL 30 NOVIEMBRE  2024</t>
  </si>
  <si>
    <t>MONTO AL 31 DE OCTUBRE 2024</t>
  </si>
  <si>
    <t>MONTO AL 30 SEPTIEMBRE 2025</t>
  </si>
  <si>
    <t>MONTO AL 31 DE AGOSTO 2025</t>
  </si>
  <si>
    <t>MONTO AL 31 JULIO 2024</t>
  </si>
  <si>
    <t>MONTO Agosto-Sept. 2025</t>
  </si>
  <si>
    <t>MONTO AL 30 JUNIO 2025</t>
  </si>
  <si>
    <t>MONTO AL 31 MAYO 2025</t>
  </si>
  <si>
    <t>MONTO AL 30 ABRIL 2025</t>
  </si>
  <si>
    <t>MONTO AL 31 MARZO 2025</t>
  </si>
  <si>
    <t>MONTO AL 28 FEBRERO 2025</t>
  </si>
  <si>
    <t>MONTO AL 31 ENERO 2025</t>
  </si>
  <si>
    <t>MONTO AÑO 2024</t>
  </si>
  <si>
    <t>MONTO AÑO 2023</t>
  </si>
  <si>
    <t>MONTO AÑO 2021</t>
  </si>
  <si>
    <t>MONTO AÑOS ANTERIORES</t>
  </si>
  <si>
    <t>FUENTE DE FINANCIAMIENTO</t>
  </si>
  <si>
    <t xml:space="preserve">CONCEPTO DE COMPRA ( BREVE DESCRIPCION ) </t>
  </si>
  <si>
    <t xml:space="preserve">NOMBRES PROVEEDOR  </t>
  </si>
  <si>
    <t>NO</t>
  </si>
  <si>
    <t>SEPTIEMBRE</t>
  </si>
  <si>
    <t>MES REPORTADO</t>
  </si>
  <si>
    <t>JULIO</t>
  </si>
  <si>
    <t>ABRIL</t>
  </si>
  <si>
    <t xml:space="preserve">MES  REPORTADO:      </t>
  </si>
  <si>
    <t>SRS:  4</t>
  </si>
  <si>
    <t>ESTABLECIMIENTO:  HOSPITAL REGIONAL ING. LUIS L. BOGAERT</t>
  </si>
  <si>
    <t>COMPROMISO DEUDA  2025</t>
  </si>
  <si>
    <t xml:space="preserve">DIRECCION DE FISCALIZACION Y CONTROL </t>
  </si>
  <si>
    <t xml:space="preserve">SERVICIO NACIONAL DE SALUD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</si>
</sst>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\ _€_-;\-* #,##0.00\ _€_-;_-* &quot;-&quot;??\ _€_-;_-@_-"/>
    <numFmt numFmtId="164" formatCode="#,##0.00;[Red]#,##0.00"/>
    <numFmt numFmtId="165" formatCode="_-* #,##0.00\ _$_-;\-* #,##0.00\ _$_-;_-* &quot;-&quot;??\ _$_-;_-@_-"/>
    <numFmt numFmtId="166" formatCode="_(* #,##0.00_);_(* \(#,##0.00\);_(* &quot;-&quot;??_);_(@_)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0"/>
      <name val="Times New Roman"/>
      <family val="1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name val="Calibri"/>
      <family val="2"/>
      <scheme val="minor"/>
    </font>
    <font>
      <sz val="8"/>
      <color rgb="FFFF0000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theme="1"/>
      <name val="Times New Roman"/>
      <family val="1"/>
    </font>
    <font>
      <sz val="8"/>
      <color theme="1"/>
      <name val="Calibri Light"/>
      <family val="1"/>
      <scheme val="major"/>
    </font>
    <font>
      <sz val="8"/>
      <name val="Calibri"/>
      <family val="2"/>
      <scheme val="minor"/>
    </font>
    <font>
      <sz val="8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166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80">
    <xf numFmtId="0" fontId="0" fillId="0" borderId="0" xfId="0"/>
    <xf numFmtId="0" fontId="4" fillId="0" borderId="0" xfId="0" applyFont="1"/>
    <xf numFmtId="4" fontId="5" fillId="0" borderId="1" xfId="0" applyNumberFormat="1" applyFont="1" applyBorder="1"/>
    <xf numFmtId="0" fontId="0" fillId="0" borderId="0" xfId="0" applyAlignment="1">
      <alignment horizontal="left"/>
    </xf>
    <xf numFmtId="0" fontId="6" fillId="0" borderId="0" xfId="0" applyFont="1" applyAlignment="1">
      <alignment horizontal="left"/>
    </xf>
    <xf numFmtId="164" fontId="6" fillId="0" borderId="0" xfId="0" applyNumberFormat="1" applyFont="1"/>
    <xf numFmtId="4" fontId="6" fillId="0" borderId="0" xfId="0" applyNumberFormat="1" applyFont="1"/>
    <xf numFmtId="0" fontId="7" fillId="0" borderId="0" xfId="0" applyFont="1"/>
    <xf numFmtId="0" fontId="6" fillId="0" borderId="0" xfId="0" applyFont="1"/>
    <xf numFmtId="0" fontId="6" fillId="2" borderId="0" xfId="0" applyFont="1" applyFill="1"/>
    <xf numFmtId="0" fontId="6" fillId="0" borderId="0" xfId="0" applyFont="1" applyAlignment="1">
      <alignment horizontal="center"/>
    </xf>
    <xf numFmtId="0" fontId="6" fillId="2" borderId="0" xfId="0" applyFont="1" applyFill="1" applyAlignment="1">
      <alignment horizontal="left"/>
    </xf>
    <xf numFmtId="0" fontId="6" fillId="2" borderId="0" xfId="0" applyFont="1" applyFill="1" applyAlignment="1">
      <alignment horizontal="right"/>
    </xf>
    <xf numFmtId="0" fontId="0" fillId="0" borderId="0" xfId="0" applyAlignment="1">
      <alignment horizontal="center"/>
    </xf>
    <xf numFmtId="0" fontId="8" fillId="0" borderId="0" xfId="0" applyFont="1" applyAlignment="1">
      <alignment horizontal="left"/>
    </xf>
    <xf numFmtId="0" fontId="7" fillId="0" borderId="0" xfId="0" applyFont="1" applyAlignment="1">
      <alignment horizontal="center" wrapText="1"/>
    </xf>
    <xf numFmtId="0" fontId="7" fillId="0" borderId="0" xfId="0" applyFont="1" applyAlignment="1">
      <alignment horizontal="center" wrapText="1"/>
    </xf>
    <xf numFmtId="0" fontId="7" fillId="0" borderId="0" xfId="0" applyFont="1" applyAlignment="1">
      <alignment wrapText="1"/>
    </xf>
    <xf numFmtId="0" fontId="5" fillId="0" borderId="0" xfId="0" applyFont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Alignment="1">
      <alignment horizontal="left"/>
    </xf>
    <xf numFmtId="0" fontId="6" fillId="2" borderId="0" xfId="0" applyFont="1" applyFill="1" applyAlignment="1">
      <alignment horizontal="center"/>
    </xf>
    <xf numFmtId="0" fontId="0" fillId="0" borderId="0" xfId="0" applyAlignment="1">
      <alignment horizontal="left"/>
    </xf>
    <xf numFmtId="0" fontId="6" fillId="0" borderId="0" xfId="0" applyFont="1" applyAlignment="1">
      <alignment horizontal="right"/>
    </xf>
    <xf numFmtId="0" fontId="7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2" fillId="0" borderId="0" xfId="0" applyFont="1"/>
    <xf numFmtId="43" fontId="10" fillId="0" borderId="0" xfId="0" applyNumberFormat="1" applyFont="1"/>
    <xf numFmtId="0" fontId="2" fillId="2" borderId="0" xfId="0" applyFont="1" applyFill="1"/>
    <xf numFmtId="43" fontId="10" fillId="2" borderId="0" xfId="0" applyNumberFormat="1" applyFont="1" applyFill="1"/>
    <xf numFmtId="0" fontId="7" fillId="2" borderId="0" xfId="0" applyFont="1" applyFill="1"/>
    <xf numFmtId="165" fontId="0" fillId="0" borderId="0" xfId="0" applyNumberFormat="1"/>
    <xf numFmtId="43" fontId="11" fillId="3" borderId="2" xfId="2" applyFont="1" applyFill="1" applyBorder="1" applyAlignment="1">
      <alignment horizontal="right"/>
    </xf>
    <xf numFmtId="43" fontId="11" fillId="3" borderId="3" xfId="2" applyFont="1" applyFill="1" applyBorder="1" applyAlignment="1">
      <alignment horizontal="right"/>
    </xf>
    <xf numFmtId="0" fontId="11" fillId="3" borderId="3" xfId="0" applyFont="1" applyFill="1" applyBorder="1" applyAlignment="1">
      <alignment horizontal="center"/>
    </xf>
    <xf numFmtId="0" fontId="11" fillId="3" borderId="4" xfId="0" applyFont="1" applyFill="1" applyBorder="1" applyAlignment="1">
      <alignment horizontal="center"/>
    </xf>
    <xf numFmtId="43" fontId="7" fillId="0" borderId="5" xfId="2" applyFont="1" applyBorder="1" applyAlignment="1">
      <alignment horizontal="right"/>
    </xf>
    <xf numFmtId="43" fontId="7" fillId="2" borderId="5" xfId="2" applyFont="1" applyFill="1" applyBorder="1" applyAlignment="1">
      <alignment horizontal="center"/>
    </xf>
    <xf numFmtId="43" fontId="7" fillId="0" borderId="5" xfId="2" applyFont="1" applyBorder="1" applyAlignment="1">
      <alignment horizontal="center"/>
    </xf>
    <xf numFmtId="4" fontId="12" fillId="2" borderId="5" xfId="0" applyNumberFormat="1" applyFont="1" applyFill="1" applyBorder="1" applyAlignment="1">
      <alignment horizontal="center"/>
    </xf>
    <xf numFmtId="166" fontId="12" fillId="0" borderId="5" xfId="1" applyFont="1" applyBorder="1" applyAlignment="1">
      <alignment horizontal="center"/>
    </xf>
    <xf numFmtId="166" fontId="7" fillId="2" borderId="5" xfId="1" applyFont="1" applyFill="1" applyBorder="1" applyAlignment="1">
      <alignment horizontal="right"/>
    </xf>
    <xf numFmtId="0" fontId="7" fillId="0" borderId="5" xfId="0" applyFont="1" applyBorder="1" applyAlignment="1">
      <alignment horizontal="center"/>
    </xf>
    <xf numFmtId="0" fontId="7" fillId="0" borderId="5" xfId="0" applyFont="1" applyBorder="1"/>
    <xf numFmtId="0" fontId="7" fillId="2" borderId="5" xfId="0" applyFont="1" applyFill="1" applyBorder="1" applyAlignment="1">
      <alignment horizontal="left" wrapText="1"/>
    </xf>
    <xf numFmtId="49" fontId="11" fillId="4" borderId="6" xfId="0" applyNumberFormat="1" applyFont="1" applyFill="1" applyBorder="1" applyAlignment="1">
      <alignment horizontal="center" wrapText="1"/>
    </xf>
    <xf numFmtId="43" fontId="7" fillId="0" borderId="5" xfId="2" applyFont="1" applyFill="1" applyBorder="1" applyAlignment="1">
      <alignment horizontal="right"/>
    </xf>
    <xf numFmtId="166" fontId="7" fillId="0" borderId="5" xfId="1" applyFont="1" applyBorder="1" applyAlignment="1">
      <alignment horizontal="right"/>
    </xf>
    <xf numFmtId="166" fontId="12" fillId="2" borderId="5" xfId="1" applyFont="1" applyFill="1" applyBorder="1" applyAlignment="1">
      <alignment horizontal="center"/>
    </xf>
    <xf numFmtId="43" fontId="13" fillId="0" borderId="5" xfId="2" applyFont="1" applyBorder="1" applyAlignment="1">
      <alignment horizontal="center" vertical="center" wrapText="1"/>
    </xf>
    <xf numFmtId="43" fontId="7" fillId="5" borderId="5" xfId="2" applyFont="1" applyFill="1" applyBorder="1" applyAlignment="1">
      <alignment horizontal="center"/>
    </xf>
    <xf numFmtId="43" fontId="8" fillId="2" borderId="5" xfId="2" applyFont="1" applyFill="1" applyBorder="1" applyAlignment="1">
      <alignment horizontal="center"/>
    </xf>
    <xf numFmtId="166" fontId="7" fillId="0" borderId="5" xfId="1" applyFont="1" applyBorder="1" applyAlignment="1">
      <alignment horizontal="center"/>
    </xf>
    <xf numFmtId="166" fontId="7" fillId="2" borderId="5" xfId="1" applyFont="1" applyFill="1" applyBorder="1" applyAlignment="1">
      <alignment horizontal="center"/>
    </xf>
    <xf numFmtId="43" fontId="14" fillId="2" borderId="5" xfId="2" applyFont="1" applyFill="1" applyBorder="1" applyAlignment="1">
      <alignment horizontal="center"/>
    </xf>
    <xf numFmtId="0" fontId="15" fillId="0" borderId="5" xfId="0" applyFont="1" applyBorder="1" applyAlignment="1">
      <alignment horizontal="left"/>
    </xf>
    <xf numFmtId="0" fontId="15" fillId="2" borderId="5" xfId="0" applyFont="1" applyFill="1" applyBorder="1" applyAlignment="1">
      <alignment horizontal="left"/>
    </xf>
    <xf numFmtId="43" fontId="7" fillId="2" borderId="5" xfId="2" applyFont="1" applyFill="1" applyBorder="1" applyAlignment="1">
      <alignment horizontal="right"/>
    </xf>
    <xf numFmtId="0" fontId="7" fillId="2" borderId="5" xfId="0" applyFont="1" applyFill="1" applyBorder="1" applyAlignment="1">
      <alignment horizontal="center"/>
    </xf>
    <xf numFmtId="0" fontId="7" fillId="2" borderId="5" xfId="0" applyFont="1" applyFill="1" applyBorder="1"/>
    <xf numFmtId="0" fontId="7" fillId="2" borderId="5" xfId="0" applyFont="1" applyFill="1" applyBorder="1" applyAlignment="1">
      <alignment horizontal="left"/>
    </xf>
    <xf numFmtId="0" fontId="12" fillId="2" borderId="5" xfId="0" applyFont="1" applyFill="1" applyBorder="1"/>
    <xf numFmtId="43" fontId="7" fillId="0" borderId="7" xfId="2" applyFont="1" applyFill="1" applyBorder="1" applyAlignment="1">
      <alignment horizontal="right"/>
    </xf>
    <xf numFmtId="43" fontId="7" fillId="2" borderId="7" xfId="2" applyFont="1" applyFill="1" applyBorder="1" applyAlignment="1">
      <alignment horizontal="center"/>
    </xf>
    <xf numFmtId="43" fontId="7" fillId="0" borderId="7" xfId="2" applyFont="1" applyBorder="1" applyAlignment="1">
      <alignment horizontal="center"/>
    </xf>
    <xf numFmtId="166" fontId="7" fillId="0" borderId="7" xfId="1" applyFont="1" applyBorder="1" applyAlignment="1">
      <alignment horizontal="center"/>
    </xf>
    <xf numFmtId="166" fontId="7" fillId="2" borderId="7" xfId="1" applyFont="1" applyFill="1" applyBorder="1" applyAlignment="1">
      <alignment horizontal="center"/>
    </xf>
    <xf numFmtId="166" fontId="7" fillId="0" borderId="7" xfId="1" applyFont="1" applyBorder="1" applyAlignment="1">
      <alignment horizontal="right"/>
    </xf>
    <xf numFmtId="0" fontId="7" fillId="0" borderId="7" xfId="0" applyFont="1" applyBorder="1" applyAlignment="1">
      <alignment horizontal="center"/>
    </xf>
    <xf numFmtId="0" fontId="7" fillId="0" borderId="7" xfId="0" applyFont="1" applyBorder="1"/>
    <xf numFmtId="0" fontId="12" fillId="2" borderId="7" xfId="0" applyFont="1" applyFill="1" applyBorder="1" applyAlignment="1">
      <alignment horizontal="left"/>
    </xf>
    <xf numFmtId="0" fontId="11" fillId="4" borderId="2" xfId="0" applyFont="1" applyFill="1" applyBorder="1" applyAlignment="1">
      <alignment horizontal="center" wrapText="1"/>
    </xf>
    <xf numFmtId="0" fontId="11" fillId="4" borderId="3" xfId="0" applyFont="1" applyFill="1" applyBorder="1" applyAlignment="1">
      <alignment horizontal="center" wrapText="1"/>
    </xf>
    <xf numFmtId="0" fontId="3" fillId="4" borderId="3" xfId="0" applyFont="1" applyFill="1" applyBorder="1" applyAlignment="1">
      <alignment horizontal="center" wrapText="1"/>
    </xf>
    <xf numFmtId="0" fontId="11" fillId="4" borderId="4" xfId="0" applyFont="1" applyFill="1" applyBorder="1" applyAlignment="1">
      <alignment horizontal="center" wrapText="1"/>
    </xf>
    <xf numFmtId="0" fontId="0" fillId="0" borderId="0" xfId="0" applyAlignment="1">
      <alignment horizontal="centerContinuous"/>
    </xf>
    <xf numFmtId="0" fontId="7" fillId="0" borderId="0" xfId="0" applyFont="1" applyAlignment="1">
      <alignment horizontal="centerContinuous"/>
    </xf>
    <xf numFmtId="0" fontId="16" fillId="0" borderId="0" xfId="0" applyFont="1" applyAlignment="1">
      <alignment horizontal="centerContinuous"/>
    </xf>
    <xf numFmtId="0" fontId="11" fillId="0" borderId="0" xfId="0" applyFont="1" applyAlignment="1">
      <alignment horizontal="centerContinuous"/>
    </xf>
    <xf numFmtId="0" fontId="17" fillId="0" borderId="0" xfId="0" applyFont="1" applyAlignment="1">
      <alignment horizontal="centerContinuous"/>
    </xf>
  </cellXfs>
  <cellStyles count="3">
    <cellStyle name="Millares" xfId="1" builtinId="3"/>
    <cellStyle name="Millares 2 2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89"/>
  <sheetViews>
    <sheetView tabSelected="1" zoomScaleNormal="100" workbookViewId="0">
      <selection activeCell="B21" sqref="B21"/>
    </sheetView>
  </sheetViews>
  <sheetFormatPr baseColWidth="10" defaultRowHeight="15" x14ac:dyDescent="0.25"/>
  <cols>
    <col min="1" max="1" width="6.140625" customWidth="1"/>
    <col min="2" max="2" width="26.5703125" customWidth="1"/>
    <col min="3" max="3" width="25.7109375" customWidth="1"/>
    <col min="4" max="4" width="8.140625" customWidth="1"/>
    <col min="5" max="5" width="11.85546875" customWidth="1"/>
    <col min="6" max="6" width="9.42578125" hidden="1" customWidth="1"/>
    <col min="7" max="7" width="11.28515625" hidden="1" customWidth="1"/>
    <col min="8" max="8" width="10.85546875" hidden="1" customWidth="1"/>
    <col min="9" max="9" width="14.7109375" hidden="1" customWidth="1"/>
    <col min="10" max="10" width="10.42578125" hidden="1" customWidth="1"/>
    <col min="11" max="11" width="11.85546875" hidden="1" customWidth="1"/>
    <col min="12" max="12" width="12" hidden="1" customWidth="1"/>
    <col min="13" max="13" width="13.7109375" hidden="1" customWidth="1"/>
    <col min="14" max="14" width="11.7109375" hidden="1" customWidth="1"/>
    <col min="15" max="15" width="13" customWidth="1"/>
    <col min="16" max="16" width="6" hidden="1" customWidth="1"/>
    <col min="17" max="17" width="11.85546875" hidden="1" customWidth="1"/>
    <col min="18" max="18" width="12.7109375" hidden="1" customWidth="1"/>
    <col min="19" max="19" width="10.140625" hidden="1" customWidth="1"/>
    <col min="20" max="20" width="10.7109375" hidden="1" customWidth="1"/>
    <col min="21" max="21" width="6.7109375" hidden="1" customWidth="1"/>
    <col min="22" max="22" width="13.5703125" customWidth="1"/>
    <col min="23" max="23" width="12.7109375" bestFit="1" customWidth="1"/>
    <col min="24" max="24" width="16.28515625" bestFit="1" customWidth="1"/>
  </cols>
  <sheetData>
    <row r="1" spans="1:22" ht="15.75" x14ac:dyDescent="0.25">
      <c r="A1" s="78" t="s">
        <v>170</v>
      </c>
      <c r="B1" s="78"/>
      <c r="C1" s="78"/>
      <c r="D1" s="79"/>
      <c r="E1" s="79"/>
      <c r="F1" s="79"/>
      <c r="G1" s="79"/>
      <c r="H1" s="79"/>
      <c r="I1" s="78"/>
      <c r="J1" s="78"/>
      <c r="K1" s="78"/>
      <c r="L1" s="78"/>
      <c r="M1" s="78"/>
      <c r="N1" s="78"/>
      <c r="O1" s="78"/>
      <c r="P1" s="78"/>
      <c r="Q1" s="78"/>
      <c r="R1" s="78"/>
      <c r="S1" s="78"/>
      <c r="T1" s="78"/>
      <c r="U1" s="78"/>
      <c r="V1" s="78"/>
    </row>
    <row r="2" spans="1:22" ht="15.75" x14ac:dyDescent="0.25">
      <c r="A2" s="76" t="s">
        <v>169</v>
      </c>
      <c r="B2" s="76"/>
      <c r="C2" s="76"/>
      <c r="D2" s="77"/>
      <c r="E2" s="77"/>
      <c r="F2" s="77"/>
      <c r="G2" s="77"/>
      <c r="H2" s="77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  <c r="T2" s="76"/>
      <c r="U2" s="76"/>
      <c r="V2" s="76"/>
    </row>
    <row r="3" spans="1:22" x14ac:dyDescent="0.25">
      <c r="A3" s="7"/>
      <c r="B3" s="7"/>
      <c r="C3" s="75" t="s">
        <v>168</v>
      </c>
      <c r="D3" s="75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</row>
    <row r="4" spans="1:22" x14ac:dyDescent="0.25">
      <c r="A4" s="7" t="s">
        <v>167</v>
      </c>
      <c r="B4" s="7"/>
      <c r="C4" s="7"/>
      <c r="D4" s="7"/>
      <c r="E4" s="7"/>
      <c r="F4" s="7"/>
      <c r="G4" s="7"/>
      <c r="H4" s="7" t="s">
        <v>166</v>
      </c>
      <c r="I4" s="7" t="s">
        <v>165</v>
      </c>
      <c r="J4" s="7" t="s">
        <v>164</v>
      </c>
      <c r="K4" s="7" t="s">
        <v>162</v>
      </c>
      <c r="L4" s="7" t="s">
        <v>162</v>
      </c>
      <c r="M4" s="7" t="s">
        <v>163</v>
      </c>
      <c r="N4" s="7"/>
      <c r="O4" s="7" t="s">
        <v>162</v>
      </c>
      <c r="P4" s="7"/>
      <c r="Q4" s="7" t="s">
        <v>161</v>
      </c>
      <c r="R4" s="7"/>
      <c r="S4" s="7"/>
      <c r="T4" s="7"/>
      <c r="U4" s="7"/>
      <c r="V4" s="7"/>
    </row>
    <row r="5" spans="1:22" ht="27" customHeight="1" thickBot="1" x14ac:dyDescent="0.3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</row>
    <row r="6" spans="1:22" ht="46.5" customHeight="1" thickBot="1" x14ac:dyDescent="0.3">
      <c r="A6" s="74" t="s">
        <v>160</v>
      </c>
      <c r="B6" s="72" t="s">
        <v>159</v>
      </c>
      <c r="C6" s="72" t="s">
        <v>158</v>
      </c>
      <c r="D6" s="72" t="s">
        <v>157</v>
      </c>
      <c r="E6" s="72" t="s">
        <v>156</v>
      </c>
      <c r="F6" s="72" t="s">
        <v>155</v>
      </c>
      <c r="G6" s="72" t="s">
        <v>154</v>
      </c>
      <c r="H6" s="72" t="s">
        <v>153</v>
      </c>
      <c r="I6" s="72" t="s">
        <v>152</v>
      </c>
      <c r="J6" s="72" t="s">
        <v>151</v>
      </c>
      <c r="K6" s="72" t="s">
        <v>150</v>
      </c>
      <c r="L6" s="72" t="s">
        <v>149</v>
      </c>
      <c r="M6" s="72" t="s">
        <v>148</v>
      </c>
      <c r="N6" s="72" t="s">
        <v>147</v>
      </c>
      <c r="O6" s="73" t="s">
        <v>146</v>
      </c>
      <c r="P6" s="72" t="s">
        <v>145</v>
      </c>
      <c r="Q6" s="72" t="s">
        <v>144</v>
      </c>
      <c r="R6" s="72" t="s">
        <v>143</v>
      </c>
      <c r="S6" s="72" t="s">
        <v>142</v>
      </c>
      <c r="T6" s="72" t="s">
        <v>141</v>
      </c>
      <c r="U6" s="72" t="s">
        <v>140</v>
      </c>
      <c r="V6" s="71" t="s">
        <v>139</v>
      </c>
    </row>
    <row r="7" spans="1:22" x14ac:dyDescent="0.25">
      <c r="A7" s="45" t="s">
        <v>138</v>
      </c>
      <c r="B7" s="70" t="s">
        <v>137</v>
      </c>
      <c r="C7" s="69" t="s">
        <v>136</v>
      </c>
      <c r="D7" s="68" t="s">
        <v>17</v>
      </c>
      <c r="E7" s="67">
        <v>2300</v>
      </c>
      <c r="F7" s="67"/>
      <c r="G7" s="67"/>
      <c r="H7" s="67"/>
      <c r="I7" s="66"/>
      <c r="J7" s="65"/>
      <c r="K7" s="64"/>
      <c r="L7" s="63"/>
      <c r="M7" s="63"/>
      <c r="N7" s="64"/>
      <c r="O7" s="63">
        <v>0</v>
      </c>
      <c r="P7" s="64">
        <v>0</v>
      </c>
      <c r="Q7" s="63">
        <v>0</v>
      </c>
      <c r="R7" s="63">
        <v>0</v>
      </c>
      <c r="S7" s="64">
        <v>0</v>
      </c>
      <c r="T7" s="64">
        <v>0</v>
      </c>
      <c r="U7" s="63">
        <v>0</v>
      </c>
      <c r="V7" s="62">
        <f>SUM(E7:U7)</f>
        <v>2300</v>
      </c>
    </row>
    <row r="8" spans="1:22" x14ac:dyDescent="0.25">
      <c r="A8" s="45" t="s">
        <v>135</v>
      </c>
      <c r="B8" s="55" t="s">
        <v>134</v>
      </c>
      <c r="C8" s="43" t="s">
        <v>133</v>
      </c>
      <c r="D8" s="42" t="s">
        <v>17</v>
      </c>
      <c r="E8" s="47"/>
      <c r="F8" s="37">
        <v>0</v>
      </c>
      <c r="G8" s="57">
        <v>0</v>
      </c>
      <c r="H8" s="57">
        <v>0</v>
      </c>
      <c r="I8" s="53">
        <v>0</v>
      </c>
      <c r="J8" s="52">
        <v>0</v>
      </c>
      <c r="K8" s="38">
        <v>0</v>
      </c>
      <c r="L8" s="37">
        <f>42610.24+35223.93-77834.17</f>
        <v>0</v>
      </c>
      <c r="M8" s="37">
        <f>63982.72-63982.72</f>
        <v>0</v>
      </c>
      <c r="N8" s="37">
        <f>12010.24-12010.24</f>
        <v>0</v>
      </c>
      <c r="O8" s="37">
        <f>73677.63+14815.01+142654.46+2000-88492.64</f>
        <v>144654.45999999996</v>
      </c>
      <c r="P8" s="38">
        <v>0</v>
      </c>
      <c r="Q8" s="37">
        <v>0</v>
      </c>
      <c r="R8" s="37">
        <f>24875.09+31092.55-55967.64</f>
        <v>0</v>
      </c>
      <c r="S8" s="37">
        <v>0</v>
      </c>
      <c r="T8" s="37">
        <v>0</v>
      </c>
      <c r="U8" s="37">
        <f>22270.4-22270.4</f>
        <v>0</v>
      </c>
      <c r="V8" s="57">
        <f>SUM(E8:U8)</f>
        <v>144654.45999999996</v>
      </c>
    </row>
    <row r="9" spans="1:22" x14ac:dyDescent="0.25">
      <c r="A9" s="45" t="s">
        <v>132</v>
      </c>
      <c r="B9" s="55" t="s">
        <v>131</v>
      </c>
      <c r="C9" s="43" t="s">
        <v>130</v>
      </c>
      <c r="D9" s="42" t="s">
        <v>17</v>
      </c>
      <c r="E9" s="41">
        <v>0</v>
      </c>
      <c r="F9" s="47">
        <v>0</v>
      </c>
      <c r="G9" s="47">
        <v>0</v>
      </c>
      <c r="H9" s="47">
        <v>0</v>
      </c>
      <c r="I9" s="53">
        <v>0</v>
      </c>
      <c r="J9" s="52">
        <v>0</v>
      </c>
      <c r="K9" s="37">
        <v>0</v>
      </c>
      <c r="L9" s="37">
        <v>0</v>
      </c>
      <c r="M9" s="37">
        <v>0</v>
      </c>
      <c r="N9" s="37">
        <v>0</v>
      </c>
      <c r="O9" s="37">
        <f>3675+4300+16860+5460+4665+4095+3480-39055</f>
        <v>3480</v>
      </c>
      <c r="P9" s="37">
        <v>0</v>
      </c>
      <c r="Q9" s="37">
        <v>0</v>
      </c>
      <c r="R9" s="50">
        <v>0</v>
      </c>
      <c r="S9" s="37">
        <v>0</v>
      </c>
      <c r="T9" s="37">
        <v>0</v>
      </c>
      <c r="U9" s="37">
        <v>0</v>
      </c>
      <c r="V9" s="46">
        <f>SUM(E9:U9)</f>
        <v>3480</v>
      </c>
    </row>
    <row r="10" spans="1:22" x14ac:dyDescent="0.25">
      <c r="A10" s="45" t="s">
        <v>129</v>
      </c>
      <c r="B10" s="56" t="s">
        <v>128</v>
      </c>
      <c r="C10" s="43" t="s">
        <v>127</v>
      </c>
      <c r="D10" s="42" t="s">
        <v>17</v>
      </c>
      <c r="E10" s="41"/>
      <c r="F10" s="47"/>
      <c r="G10" s="47"/>
      <c r="H10" s="37">
        <v>0</v>
      </c>
      <c r="I10" s="53">
        <v>0</v>
      </c>
      <c r="J10" s="52">
        <v>0</v>
      </c>
      <c r="K10" s="37">
        <v>0</v>
      </c>
      <c r="L10" s="37">
        <f>15930+25075-15930-25075</f>
        <v>0</v>
      </c>
      <c r="M10" s="37">
        <f>102955+36580+17936-102955-36580-17936</f>
        <v>0</v>
      </c>
      <c r="N10" s="37">
        <f>23600+7965+47200+7080+20650+12508+16225-23600-7965+9499-113162</f>
        <v>0</v>
      </c>
      <c r="O10" s="37">
        <f>15623+24780+20650+22420-61053</f>
        <v>22420</v>
      </c>
      <c r="P10" s="37">
        <v>0</v>
      </c>
      <c r="Q10" s="37">
        <v>0</v>
      </c>
      <c r="R10" s="37">
        <v>0</v>
      </c>
      <c r="S10" s="38">
        <v>0</v>
      </c>
      <c r="T10" s="37"/>
      <c r="U10" s="37">
        <v>0</v>
      </c>
      <c r="V10" s="46">
        <f>SUM(E10:U10)</f>
        <v>22420</v>
      </c>
    </row>
    <row r="11" spans="1:22" x14ac:dyDescent="0.25">
      <c r="A11" s="45" t="s">
        <v>126</v>
      </c>
      <c r="B11" s="61" t="s">
        <v>125</v>
      </c>
      <c r="C11" s="43" t="s">
        <v>124</v>
      </c>
      <c r="D11" s="42" t="s">
        <v>17</v>
      </c>
      <c r="E11" s="47"/>
      <c r="F11" s="47"/>
      <c r="G11" s="47"/>
      <c r="H11" s="37"/>
      <c r="I11" s="53"/>
      <c r="J11" s="52">
        <v>0</v>
      </c>
      <c r="K11" s="37"/>
      <c r="L11" s="37"/>
      <c r="M11" s="37"/>
      <c r="N11" s="37"/>
      <c r="O11" s="37">
        <f>54162</f>
        <v>54162</v>
      </c>
      <c r="P11" s="38"/>
      <c r="Q11" s="37"/>
      <c r="R11" s="37">
        <v>0</v>
      </c>
      <c r="S11" s="38"/>
      <c r="T11" s="37"/>
      <c r="U11" s="37"/>
      <c r="V11" s="46">
        <f>SUM(E11:U11)</f>
        <v>54162</v>
      </c>
    </row>
    <row r="12" spans="1:22" x14ac:dyDescent="0.25">
      <c r="A12" s="45" t="s">
        <v>123</v>
      </c>
      <c r="B12" s="55" t="s">
        <v>122</v>
      </c>
      <c r="C12" s="43" t="s">
        <v>121</v>
      </c>
      <c r="D12" s="42" t="s">
        <v>17</v>
      </c>
      <c r="E12" s="41">
        <f>62121.25</f>
        <v>62121.25</v>
      </c>
      <c r="F12" s="41"/>
      <c r="G12" s="41"/>
      <c r="H12" s="37">
        <v>0</v>
      </c>
      <c r="I12" s="53"/>
      <c r="J12" s="52"/>
      <c r="K12" s="37"/>
      <c r="L12" s="37"/>
      <c r="M12" s="37">
        <v>0</v>
      </c>
      <c r="N12" s="37">
        <v>0</v>
      </c>
      <c r="O12" s="37">
        <v>0</v>
      </c>
      <c r="P12" s="38">
        <v>0</v>
      </c>
      <c r="Q12" s="37">
        <v>0</v>
      </c>
      <c r="R12" s="37">
        <v>0</v>
      </c>
      <c r="S12" s="38">
        <v>0</v>
      </c>
      <c r="T12" s="37">
        <v>0</v>
      </c>
      <c r="U12" s="37">
        <v>0</v>
      </c>
      <c r="V12" s="46">
        <f>SUM(E12:U12)</f>
        <v>62121.25</v>
      </c>
    </row>
    <row r="13" spans="1:22" x14ac:dyDescent="0.25">
      <c r="A13" s="45" t="s">
        <v>120</v>
      </c>
      <c r="B13" s="60" t="s">
        <v>119</v>
      </c>
      <c r="C13" s="59" t="s">
        <v>33</v>
      </c>
      <c r="D13" s="58" t="s">
        <v>17</v>
      </c>
      <c r="E13" s="47">
        <v>0</v>
      </c>
      <c r="F13" s="47"/>
      <c r="G13" s="57">
        <f>305527-305527</f>
        <v>0</v>
      </c>
      <c r="H13" s="37">
        <f>532704-532704</f>
        <v>0</v>
      </c>
      <c r="I13" s="53">
        <v>0</v>
      </c>
      <c r="J13" s="52">
        <v>0</v>
      </c>
      <c r="K13" s="37">
        <f>502275-502275</f>
        <v>0</v>
      </c>
      <c r="L13" s="37">
        <f>520105-100-520005</f>
        <v>0</v>
      </c>
      <c r="M13" s="37">
        <f>623248-623248</f>
        <v>0</v>
      </c>
      <c r="N13" s="37">
        <f>797727-797727</f>
        <v>0</v>
      </c>
      <c r="O13" s="37">
        <f>618934</f>
        <v>618934</v>
      </c>
      <c r="P13" s="37">
        <f>286046+28503-314549</f>
        <v>0</v>
      </c>
      <c r="Q13" s="37">
        <v>0</v>
      </c>
      <c r="R13" s="37">
        <f>438851-438851</f>
        <v>0</v>
      </c>
      <c r="S13" s="37">
        <v>0</v>
      </c>
      <c r="T13" s="37">
        <f>340729-340729</f>
        <v>0</v>
      </c>
      <c r="U13" s="50">
        <v>0</v>
      </c>
      <c r="V13" s="57">
        <f>SUM(E13:U13)</f>
        <v>618934</v>
      </c>
    </row>
    <row r="14" spans="1:22" x14ac:dyDescent="0.25">
      <c r="A14" s="45" t="s">
        <v>118</v>
      </c>
      <c r="B14" s="55" t="s">
        <v>117</v>
      </c>
      <c r="C14" s="43" t="s">
        <v>40</v>
      </c>
      <c r="D14" s="42" t="s">
        <v>17</v>
      </c>
      <c r="E14" s="47">
        <v>9234</v>
      </c>
      <c r="F14" s="47"/>
      <c r="G14" s="41"/>
      <c r="H14" s="37">
        <v>0</v>
      </c>
      <c r="I14" s="53"/>
      <c r="J14" s="52"/>
      <c r="K14" s="37"/>
      <c r="L14" s="37"/>
      <c r="M14" s="37">
        <v>0</v>
      </c>
      <c r="N14" s="37">
        <v>0</v>
      </c>
      <c r="O14" s="37">
        <v>0</v>
      </c>
      <c r="P14" s="38">
        <v>0</v>
      </c>
      <c r="Q14" s="37">
        <v>0</v>
      </c>
      <c r="R14" s="37">
        <v>0</v>
      </c>
      <c r="S14" s="38">
        <v>0</v>
      </c>
      <c r="T14" s="37">
        <v>0</v>
      </c>
      <c r="U14" s="37">
        <v>0</v>
      </c>
      <c r="V14" s="46">
        <f>SUM(E14:U14)</f>
        <v>9234</v>
      </c>
    </row>
    <row r="15" spans="1:22" x14ac:dyDescent="0.25">
      <c r="A15" s="45" t="s">
        <v>116</v>
      </c>
      <c r="B15" s="56" t="s">
        <v>115</v>
      </c>
      <c r="C15" s="43" t="s">
        <v>114</v>
      </c>
      <c r="D15" s="42" t="s">
        <v>17</v>
      </c>
      <c r="E15" s="47">
        <v>8000</v>
      </c>
      <c r="F15" s="47"/>
      <c r="G15" s="41"/>
      <c r="H15" s="37">
        <v>0</v>
      </c>
      <c r="I15" s="53"/>
      <c r="J15" s="52"/>
      <c r="K15" s="37"/>
      <c r="L15" s="37"/>
      <c r="M15" s="37">
        <v>0</v>
      </c>
      <c r="N15" s="37">
        <v>0</v>
      </c>
      <c r="O15" s="37">
        <v>0</v>
      </c>
      <c r="P15" s="38">
        <v>0</v>
      </c>
      <c r="Q15" s="37">
        <v>0</v>
      </c>
      <c r="R15" s="37">
        <v>0</v>
      </c>
      <c r="S15" s="38">
        <v>0</v>
      </c>
      <c r="T15" s="37">
        <v>0</v>
      </c>
      <c r="U15" s="37">
        <v>0</v>
      </c>
      <c r="V15" s="46">
        <f>SUM(E15:U15)</f>
        <v>8000</v>
      </c>
    </row>
    <row r="16" spans="1:22" x14ac:dyDescent="0.25">
      <c r="A16" s="45" t="s">
        <v>113</v>
      </c>
      <c r="B16" s="56" t="s">
        <v>112</v>
      </c>
      <c r="C16" s="43" t="s">
        <v>111</v>
      </c>
      <c r="D16" s="42" t="s">
        <v>17</v>
      </c>
      <c r="E16" s="57">
        <f>135582</f>
        <v>135582</v>
      </c>
      <c r="F16" s="47"/>
      <c r="G16" s="41"/>
      <c r="H16" s="37">
        <v>0</v>
      </c>
      <c r="I16" s="53"/>
      <c r="J16" s="52"/>
      <c r="K16" s="37"/>
      <c r="L16" s="37"/>
      <c r="M16" s="37"/>
      <c r="N16" s="37"/>
      <c r="O16" s="37"/>
      <c r="P16" s="38"/>
      <c r="Q16" s="37"/>
      <c r="R16" s="37"/>
      <c r="S16" s="38"/>
      <c r="T16" s="37">
        <f>135582</f>
        <v>135582</v>
      </c>
      <c r="U16" s="37"/>
      <c r="V16" s="46">
        <f>135582</f>
        <v>135582</v>
      </c>
    </row>
    <row r="17" spans="1:22" x14ac:dyDescent="0.25">
      <c r="A17" s="45" t="s">
        <v>110</v>
      </c>
      <c r="B17" s="56" t="s">
        <v>109</v>
      </c>
      <c r="C17" s="43" t="s">
        <v>108</v>
      </c>
      <c r="D17" s="42" t="s">
        <v>17</v>
      </c>
      <c r="E17" s="47"/>
      <c r="F17" s="47"/>
      <c r="G17" s="41"/>
      <c r="H17" s="37"/>
      <c r="I17" s="53"/>
      <c r="J17" s="52"/>
      <c r="K17" s="37">
        <v>0</v>
      </c>
      <c r="L17" s="37">
        <f>131829.6-131829.6</f>
        <v>0</v>
      </c>
      <c r="M17" s="37">
        <v>0</v>
      </c>
      <c r="N17" s="37">
        <f>33895.5+26756+253700-253700-60651.5</f>
        <v>0</v>
      </c>
      <c r="O17" s="37">
        <f>19706</f>
        <v>19706</v>
      </c>
      <c r="P17" s="38"/>
      <c r="Q17" s="37"/>
      <c r="R17" s="37"/>
      <c r="S17" s="38"/>
      <c r="T17" s="37"/>
      <c r="U17" s="37"/>
      <c r="V17" s="46">
        <f>SUM(E17:U17)</f>
        <v>19706</v>
      </c>
    </row>
    <row r="18" spans="1:22" x14ac:dyDescent="0.25">
      <c r="A18" s="45" t="s">
        <v>107</v>
      </c>
      <c r="B18" s="44" t="s">
        <v>106</v>
      </c>
      <c r="C18" s="43" t="s">
        <v>105</v>
      </c>
      <c r="D18" s="42" t="s">
        <v>17</v>
      </c>
      <c r="E18" s="47">
        <v>43660</v>
      </c>
      <c r="F18" s="47"/>
      <c r="G18" s="41"/>
      <c r="H18" s="37">
        <v>0</v>
      </c>
      <c r="I18" s="53"/>
      <c r="J18" s="52"/>
      <c r="K18" s="37"/>
      <c r="L18" s="37"/>
      <c r="M18" s="37">
        <v>0</v>
      </c>
      <c r="N18" s="37">
        <v>0</v>
      </c>
      <c r="O18" s="37">
        <v>0</v>
      </c>
      <c r="P18" s="38">
        <v>0</v>
      </c>
      <c r="Q18" s="37">
        <v>0</v>
      </c>
      <c r="R18" s="37">
        <v>0</v>
      </c>
      <c r="S18" s="38">
        <v>0</v>
      </c>
      <c r="T18" s="37">
        <v>0</v>
      </c>
      <c r="U18" s="37">
        <v>0</v>
      </c>
      <c r="V18" s="46">
        <f>SUM(E18:U18)</f>
        <v>43660</v>
      </c>
    </row>
    <row r="19" spans="1:22" x14ac:dyDescent="0.25">
      <c r="A19" s="45" t="s">
        <v>104</v>
      </c>
      <c r="B19" s="55" t="s">
        <v>103</v>
      </c>
      <c r="C19" s="43" t="s">
        <v>87</v>
      </c>
      <c r="D19" s="42" t="s">
        <v>17</v>
      </c>
      <c r="E19" s="36">
        <f>47790</f>
        <v>47790</v>
      </c>
      <c r="F19" s="47"/>
      <c r="G19" s="36">
        <v>0</v>
      </c>
      <c r="H19" s="37"/>
      <c r="I19" s="53"/>
      <c r="J19" s="52"/>
      <c r="K19" s="37">
        <v>0</v>
      </c>
      <c r="L19" s="37"/>
      <c r="M19" s="37"/>
      <c r="N19" s="37"/>
      <c r="O19" s="37"/>
      <c r="P19" s="38"/>
      <c r="Q19" s="37"/>
      <c r="R19" s="37"/>
      <c r="S19" s="37"/>
      <c r="T19" s="37"/>
      <c r="U19" s="37"/>
      <c r="V19" s="46">
        <f>SUM(E19:U19)</f>
        <v>47790</v>
      </c>
    </row>
    <row r="20" spans="1:22" x14ac:dyDescent="0.25">
      <c r="A20" s="45" t="s">
        <v>102</v>
      </c>
      <c r="B20" s="44" t="s">
        <v>101</v>
      </c>
      <c r="C20" s="43" t="s">
        <v>100</v>
      </c>
      <c r="D20" s="42" t="s">
        <v>17</v>
      </c>
      <c r="E20" s="47">
        <v>2366</v>
      </c>
      <c r="F20" s="47"/>
      <c r="G20" s="47"/>
      <c r="H20" s="37">
        <v>0</v>
      </c>
      <c r="I20" s="53"/>
      <c r="J20" s="52">
        <v>0</v>
      </c>
      <c r="K20" s="37"/>
      <c r="L20" s="37"/>
      <c r="M20" s="37">
        <v>0</v>
      </c>
      <c r="N20" s="37">
        <v>0</v>
      </c>
      <c r="O20" s="37">
        <v>0</v>
      </c>
      <c r="P20" s="38">
        <v>0</v>
      </c>
      <c r="Q20" s="37">
        <v>0</v>
      </c>
      <c r="R20" s="37">
        <v>0</v>
      </c>
      <c r="S20" s="37">
        <v>0</v>
      </c>
      <c r="T20" s="37">
        <v>0</v>
      </c>
      <c r="U20" s="37">
        <v>0</v>
      </c>
      <c r="V20" s="46">
        <f>SUM(E20:U20)</f>
        <v>2366</v>
      </c>
    </row>
    <row r="21" spans="1:22" x14ac:dyDescent="0.25">
      <c r="A21" s="45" t="s">
        <v>99</v>
      </c>
      <c r="B21" s="44" t="s">
        <v>98</v>
      </c>
      <c r="C21" s="43" t="s">
        <v>97</v>
      </c>
      <c r="D21" s="42" t="s">
        <v>17</v>
      </c>
      <c r="E21" s="37">
        <f>649547.52-324773.76</f>
        <v>324773.76000000001</v>
      </c>
      <c r="F21" s="47"/>
      <c r="G21" s="37"/>
      <c r="H21" s="37">
        <v>0</v>
      </c>
      <c r="I21" s="53"/>
      <c r="J21" s="52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>
        <v>0</v>
      </c>
      <c r="V21" s="46">
        <f>SUM(E21:U21)</f>
        <v>324773.76000000001</v>
      </c>
    </row>
    <row r="22" spans="1:22" x14ac:dyDescent="0.25">
      <c r="A22" s="45" t="s">
        <v>96</v>
      </c>
      <c r="B22" s="44" t="s">
        <v>95</v>
      </c>
      <c r="C22" s="43" t="s">
        <v>87</v>
      </c>
      <c r="D22" s="42" t="s">
        <v>17</v>
      </c>
      <c r="E22" s="47">
        <v>203719.69</v>
      </c>
      <c r="F22" s="47"/>
      <c r="G22" s="41"/>
      <c r="H22" s="37">
        <v>0</v>
      </c>
      <c r="I22" s="53"/>
      <c r="J22" s="52">
        <v>0</v>
      </c>
      <c r="K22" s="37"/>
      <c r="L22" s="37"/>
      <c r="M22" s="37">
        <v>0</v>
      </c>
      <c r="N22" s="37">
        <v>0</v>
      </c>
      <c r="O22" s="37">
        <v>0</v>
      </c>
      <c r="P22" s="38">
        <v>0</v>
      </c>
      <c r="Q22" s="37">
        <v>0</v>
      </c>
      <c r="R22" s="37">
        <v>0</v>
      </c>
      <c r="S22" s="37">
        <v>0</v>
      </c>
      <c r="T22" s="37">
        <v>0</v>
      </c>
      <c r="U22" s="37">
        <v>0</v>
      </c>
      <c r="V22" s="46">
        <f>SUM(E22:U22)</f>
        <v>203719.69</v>
      </c>
    </row>
    <row r="23" spans="1:22" x14ac:dyDescent="0.25">
      <c r="A23" s="45" t="s">
        <v>94</v>
      </c>
      <c r="B23" s="44" t="s">
        <v>93</v>
      </c>
      <c r="C23" s="43" t="s">
        <v>92</v>
      </c>
      <c r="D23" s="42" t="s">
        <v>17</v>
      </c>
      <c r="E23" s="47">
        <v>0</v>
      </c>
      <c r="F23" s="47">
        <v>0</v>
      </c>
      <c r="G23" s="37">
        <v>0</v>
      </c>
      <c r="H23" s="37">
        <f>70451+50216-120667</f>
        <v>0</v>
      </c>
      <c r="I23" s="53">
        <f>118000-118000</f>
        <v>0</v>
      </c>
      <c r="J23" s="52">
        <v>0</v>
      </c>
      <c r="K23" s="37">
        <v>0</v>
      </c>
      <c r="L23" s="37">
        <v>0</v>
      </c>
      <c r="M23" s="37">
        <f>8820+7500-16320</f>
        <v>0</v>
      </c>
      <c r="N23" s="37">
        <f>38575+77805.76-116380.76</f>
        <v>0</v>
      </c>
      <c r="O23" s="37">
        <f>77493.01+87839.2+72680+93971</f>
        <v>331983.20999999996</v>
      </c>
      <c r="P23" s="38">
        <v>0</v>
      </c>
      <c r="Q23" s="37">
        <v>0</v>
      </c>
      <c r="R23" s="50">
        <v>0</v>
      </c>
      <c r="S23" s="37">
        <f>32040+42904.8-74944.8</f>
        <v>0</v>
      </c>
      <c r="T23" s="37">
        <v>0</v>
      </c>
      <c r="U23" s="37">
        <f>70451+50216-120667</f>
        <v>0</v>
      </c>
      <c r="V23" s="46">
        <f>SUM(E23:U23)</f>
        <v>331983.20999999996</v>
      </c>
    </row>
    <row r="24" spans="1:22" x14ac:dyDescent="0.25">
      <c r="A24" s="45" t="s">
        <v>91</v>
      </c>
      <c r="B24" s="44" t="s">
        <v>90</v>
      </c>
      <c r="C24" s="43" t="s">
        <v>30</v>
      </c>
      <c r="D24" s="42" t="s">
        <v>17</v>
      </c>
      <c r="E24" s="47">
        <v>118365.5</v>
      </c>
      <c r="F24" s="47"/>
      <c r="G24" s="41"/>
      <c r="H24" s="37">
        <v>0</v>
      </c>
      <c r="I24" s="53"/>
      <c r="J24" s="52"/>
      <c r="K24" s="37"/>
      <c r="L24" s="37"/>
      <c r="M24" s="37">
        <v>0</v>
      </c>
      <c r="N24" s="37">
        <v>0</v>
      </c>
      <c r="O24" s="37">
        <v>0</v>
      </c>
      <c r="P24" s="38">
        <v>0</v>
      </c>
      <c r="Q24" s="37">
        <v>0</v>
      </c>
      <c r="R24" s="37">
        <v>0</v>
      </c>
      <c r="S24" s="37">
        <v>0</v>
      </c>
      <c r="T24" s="37">
        <v>0</v>
      </c>
      <c r="U24" s="37">
        <v>0</v>
      </c>
      <c r="V24" s="46">
        <f>SUM(E24:U24)</f>
        <v>118365.5</v>
      </c>
    </row>
    <row r="25" spans="1:22" x14ac:dyDescent="0.25">
      <c r="A25" s="45" t="s">
        <v>89</v>
      </c>
      <c r="B25" s="44" t="s">
        <v>88</v>
      </c>
      <c r="C25" s="43" t="s">
        <v>87</v>
      </c>
      <c r="D25" s="42" t="s">
        <v>17</v>
      </c>
      <c r="E25" s="47">
        <v>236708</v>
      </c>
      <c r="F25" s="47"/>
      <c r="G25" s="41"/>
      <c r="H25" s="37">
        <v>0</v>
      </c>
      <c r="I25" s="53"/>
      <c r="J25" s="52"/>
      <c r="K25" s="37"/>
      <c r="L25" s="37"/>
      <c r="M25" s="37"/>
      <c r="N25" s="37">
        <v>0</v>
      </c>
      <c r="O25" s="37">
        <v>0</v>
      </c>
      <c r="P25" s="38">
        <v>0</v>
      </c>
      <c r="Q25" s="37">
        <v>0</v>
      </c>
      <c r="R25" s="37">
        <v>0</v>
      </c>
      <c r="S25" s="37">
        <v>0</v>
      </c>
      <c r="T25" s="37">
        <v>0</v>
      </c>
      <c r="U25" s="37">
        <v>0</v>
      </c>
      <c r="V25" s="46">
        <f>SUM(E25:U25)</f>
        <v>236708</v>
      </c>
    </row>
    <row r="26" spans="1:22" x14ac:dyDescent="0.25">
      <c r="A26" s="45" t="s">
        <v>86</v>
      </c>
      <c r="B26" s="44" t="s">
        <v>85</v>
      </c>
      <c r="C26" s="43" t="s">
        <v>84</v>
      </c>
      <c r="D26" s="42" t="s">
        <v>17</v>
      </c>
      <c r="E26" s="47">
        <v>4602</v>
      </c>
      <c r="F26" s="47"/>
      <c r="G26" s="47"/>
      <c r="H26" s="37">
        <v>0</v>
      </c>
      <c r="I26" s="53"/>
      <c r="J26" s="52">
        <v>0</v>
      </c>
      <c r="K26" s="37"/>
      <c r="L26" s="37"/>
      <c r="M26" s="37">
        <v>0</v>
      </c>
      <c r="N26" s="37">
        <v>0</v>
      </c>
      <c r="O26" s="37">
        <v>0</v>
      </c>
      <c r="P26" s="38">
        <v>0</v>
      </c>
      <c r="Q26" s="37">
        <v>0</v>
      </c>
      <c r="R26" s="37">
        <v>0</v>
      </c>
      <c r="S26" s="37">
        <v>0</v>
      </c>
      <c r="T26" s="37">
        <v>0</v>
      </c>
      <c r="U26" s="37">
        <v>0</v>
      </c>
      <c r="V26" s="46">
        <f>SUM(E26:U26)</f>
        <v>4602</v>
      </c>
    </row>
    <row r="27" spans="1:22" x14ac:dyDescent="0.25">
      <c r="A27" s="45" t="s">
        <v>83</v>
      </c>
      <c r="B27" s="44" t="s">
        <v>82</v>
      </c>
      <c r="C27" s="43" t="s">
        <v>81</v>
      </c>
      <c r="D27" s="42" t="s">
        <v>17</v>
      </c>
      <c r="E27" s="47">
        <v>0</v>
      </c>
      <c r="F27" s="47">
        <v>0</v>
      </c>
      <c r="G27" s="47">
        <v>0</v>
      </c>
      <c r="H27" s="37">
        <v>0</v>
      </c>
      <c r="I27" s="53"/>
      <c r="J27" s="52"/>
      <c r="K27" s="37">
        <v>0</v>
      </c>
      <c r="L27" s="37">
        <f>28113.5-28113.5</f>
        <v>0</v>
      </c>
      <c r="M27" s="37">
        <v>0</v>
      </c>
      <c r="N27" s="37">
        <v>0</v>
      </c>
      <c r="O27" s="37">
        <f>39176</f>
        <v>39176</v>
      </c>
      <c r="P27" s="38">
        <v>0</v>
      </c>
      <c r="Q27" s="37">
        <v>0</v>
      </c>
      <c r="R27" s="37">
        <v>0</v>
      </c>
      <c r="S27" s="37">
        <v>0</v>
      </c>
      <c r="T27" s="37">
        <v>0</v>
      </c>
      <c r="U27" s="37">
        <v>0</v>
      </c>
      <c r="V27" s="46">
        <f>SUM(E27:U27)</f>
        <v>39176</v>
      </c>
    </row>
    <row r="28" spans="1:22" x14ac:dyDescent="0.25">
      <c r="A28" s="45" t="s">
        <v>80</v>
      </c>
      <c r="B28" s="44" t="s">
        <v>79</v>
      </c>
      <c r="C28" s="43" t="s">
        <v>78</v>
      </c>
      <c r="D28" s="42" t="s">
        <v>17</v>
      </c>
      <c r="E28" s="47"/>
      <c r="F28" s="47"/>
      <c r="G28" s="37">
        <v>0</v>
      </c>
      <c r="H28" s="37">
        <f>42583-42583</f>
        <v>0</v>
      </c>
      <c r="I28" s="53"/>
      <c r="J28" s="52">
        <v>0</v>
      </c>
      <c r="K28" s="37"/>
      <c r="L28" s="37">
        <f>63506.51-63506.51</f>
        <v>0</v>
      </c>
      <c r="M28" s="37">
        <f>21682.57-21682.57</f>
        <v>0</v>
      </c>
      <c r="N28" s="37">
        <f>64009.04-64009.04</f>
        <v>0</v>
      </c>
      <c r="O28" s="37">
        <f>27652.67+57959.16+2940.41+75799.92-88552.24</f>
        <v>75799.92</v>
      </c>
      <c r="P28" s="38"/>
      <c r="Q28" s="37">
        <v>0</v>
      </c>
      <c r="R28" s="37">
        <v>0</v>
      </c>
      <c r="S28" s="37">
        <v>0</v>
      </c>
      <c r="T28" s="37">
        <v>0</v>
      </c>
      <c r="U28" s="37">
        <f>42583-42583</f>
        <v>0</v>
      </c>
      <c r="V28" s="46">
        <f>SUM(E28:U28)</f>
        <v>75799.92</v>
      </c>
    </row>
    <row r="29" spans="1:22" x14ac:dyDescent="0.25">
      <c r="A29" s="45" t="s">
        <v>77</v>
      </c>
      <c r="B29" s="44" t="s">
        <v>76</v>
      </c>
      <c r="C29" s="43" t="s">
        <v>75</v>
      </c>
      <c r="D29" s="42" t="s">
        <v>17</v>
      </c>
      <c r="E29" s="47"/>
      <c r="F29" s="47"/>
      <c r="G29" s="37"/>
      <c r="H29" s="37"/>
      <c r="I29" s="53"/>
      <c r="J29" s="52"/>
      <c r="K29" s="37"/>
      <c r="L29" s="37"/>
      <c r="M29" s="37"/>
      <c r="N29" s="37">
        <f>18874.1-18874.1</f>
        <v>0</v>
      </c>
      <c r="O29" s="37">
        <f>29736</f>
        <v>29736</v>
      </c>
      <c r="P29" s="38"/>
      <c r="Q29" s="37"/>
      <c r="R29" s="37"/>
      <c r="S29" s="37"/>
      <c r="T29" s="37"/>
      <c r="U29" s="37"/>
      <c r="V29" s="46">
        <f>SUM(E29:U29)</f>
        <v>29736</v>
      </c>
    </row>
    <row r="30" spans="1:22" x14ac:dyDescent="0.25">
      <c r="A30" s="45" t="s">
        <v>74</v>
      </c>
      <c r="B30" s="44" t="s">
        <v>73</v>
      </c>
      <c r="C30" s="43" t="s">
        <v>72</v>
      </c>
      <c r="D30" s="42" t="s">
        <v>17</v>
      </c>
      <c r="E30" s="47">
        <v>103770.94</v>
      </c>
      <c r="F30" s="47"/>
      <c r="G30" s="47"/>
      <c r="H30" s="37">
        <v>0</v>
      </c>
      <c r="I30" s="53"/>
      <c r="J30" s="52"/>
      <c r="K30" s="37"/>
      <c r="L30" s="37"/>
      <c r="M30" s="37">
        <v>0</v>
      </c>
      <c r="N30" s="37">
        <v>0</v>
      </c>
      <c r="O30" s="37">
        <v>0</v>
      </c>
      <c r="P30" s="38">
        <v>0</v>
      </c>
      <c r="Q30" s="37">
        <v>0</v>
      </c>
      <c r="R30" s="37">
        <v>0</v>
      </c>
      <c r="S30" s="37">
        <v>0</v>
      </c>
      <c r="T30" s="37">
        <v>0</v>
      </c>
      <c r="U30" s="37">
        <v>0</v>
      </c>
      <c r="V30" s="46">
        <f>SUM(E30:U30)</f>
        <v>103770.94</v>
      </c>
    </row>
    <row r="31" spans="1:22" x14ac:dyDescent="0.25">
      <c r="A31" s="45" t="s">
        <v>71</v>
      </c>
      <c r="B31" s="44" t="s">
        <v>70</v>
      </c>
      <c r="C31" s="43" t="s">
        <v>69</v>
      </c>
      <c r="D31" s="42" t="s">
        <v>17</v>
      </c>
      <c r="E31" s="47">
        <v>30500</v>
      </c>
      <c r="F31" s="47"/>
      <c r="G31" s="47"/>
      <c r="H31" s="37">
        <v>0</v>
      </c>
      <c r="I31" s="53"/>
      <c r="J31" s="52"/>
      <c r="K31" s="37"/>
      <c r="L31" s="37"/>
      <c r="M31" s="37">
        <v>0</v>
      </c>
      <c r="N31" s="37">
        <v>0</v>
      </c>
      <c r="O31" s="37">
        <v>0</v>
      </c>
      <c r="P31" s="38">
        <v>0</v>
      </c>
      <c r="Q31" s="37">
        <v>0</v>
      </c>
      <c r="R31" s="37">
        <v>0</v>
      </c>
      <c r="S31" s="37">
        <v>0</v>
      </c>
      <c r="T31" s="37">
        <v>0</v>
      </c>
      <c r="U31" s="37">
        <v>0</v>
      </c>
      <c r="V31" s="46">
        <f>SUM(E31:U31)</f>
        <v>30500</v>
      </c>
    </row>
    <row r="32" spans="1:22" x14ac:dyDescent="0.25">
      <c r="A32" s="45" t="s">
        <v>68</v>
      </c>
      <c r="B32" s="44" t="s">
        <v>67</v>
      </c>
      <c r="C32" s="43" t="s">
        <v>66</v>
      </c>
      <c r="D32" s="42" t="s">
        <v>17</v>
      </c>
      <c r="E32" s="47">
        <v>2500</v>
      </c>
      <c r="F32" s="47"/>
      <c r="G32" s="47"/>
      <c r="H32" s="37">
        <v>0</v>
      </c>
      <c r="I32" s="53"/>
      <c r="J32" s="52"/>
      <c r="K32" s="37"/>
      <c r="L32" s="37"/>
      <c r="M32" s="37">
        <v>0</v>
      </c>
      <c r="N32" s="37">
        <v>0</v>
      </c>
      <c r="O32" s="37">
        <v>0</v>
      </c>
      <c r="P32" s="38">
        <v>0</v>
      </c>
      <c r="Q32" s="37">
        <v>0</v>
      </c>
      <c r="R32" s="37">
        <v>0</v>
      </c>
      <c r="S32" s="37">
        <v>0</v>
      </c>
      <c r="T32" s="37">
        <v>0</v>
      </c>
      <c r="U32" s="37">
        <v>0</v>
      </c>
      <c r="V32" s="46">
        <f>SUM(E32:U32)</f>
        <v>2500</v>
      </c>
    </row>
    <row r="33" spans="1:22" x14ac:dyDescent="0.25">
      <c r="A33" s="45" t="s">
        <v>65</v>
      </c>
      <c r="B33" s="44" t="s">
        <v>64</v>
      </c>
      <c r="C33" s="43" t="s">
        <v>55</v>
      </c>
      <c r="D33" s="42" t="s">
        <v>39</v>
      </c>
      <c r="E33" s="47"/>
      <c r="F33" s="47">
        <v>0</v>
      </c>
      <c r="G33" s="37">
        <v>0</v>
      </c>
      <c r="H33" s="37">
        <v>0</v>
      </c>
      <c r="I33" s="53">
        <f>5550-5550</f>
        <v>0</v>
      </c>
      <c r="J33" s="52">
        <v>0</v>
      </c>
      <c r="K33" s="37">
        <v>0</v>
      </c>
      <c r="L33" s="37">
        <v>0</v>
      </c>
      <c r="M33" s="37">
        <v>0</v>
      </c>
      <c r="N33" s="37">
        <v>0</v>
      </c>
      <c r="O33" s="51">
        <f>175000+125000+75000+205500-300000+75000-280000</f>
        <v>75500</v>
      </c>
      <c r="P33" s="37">
        <v>0</v>
      </c>
      <c r="Q33" s="37">
        <v>0</v>
      </c>
      <c r="R33" s="37">
        <v>0</v>
      </c>
      <c r="S33" s="37">
        <f>34000-34000</f>
        <v>0</v>
      </c>
      <c r="T33" s="37">
        <v>0</v>
      </c>
      <c r="U33" s="37">
        <v>0</v>
      </c>
      <c r="V33" s="46">
        <f>SUM(E33:U33)</f>
        <v>75500</v>
      </c>
    </row>
    <row r="34" spans="1:22" x14ac:dyDescent="0.25">
      <c r="A34" s="45" t="s">
        <v>63</v>
      </c>
      <c r="B34" s="44" t="s">
        <v>62</v>
      </c>
      <c r="C34" s="43" t="s">
        <v>61</v>
      </c>
      <c r="D34" s="42" t="s">
        <v>17</v>
      </c>
      <c r="E34" s="47"/>
      <c r="F34" s="41"/>
      <c r="G34" s="41">
        <v>0</v>
      </c>
      <c r="H34" s="37">
        <v>0</v>
      </c>
      <c r="I34" s="53">
        <v>0</v>
      </c>
      <c r="J34" s="52">
        <v>0</v>
      </c>
      <c r="K34" s="39">
        <f>52095+40425+7760-100280</f>
        <v>0</v>
      </c>
      <c r="L34" s="37">
        <f>225000-225000</f>
        <v>0</v>
      </c>
      <c r="M34" s="37">
        <f>54765-54765</f>
        <v>0</v>
      </c>
      <c r="N34" s="37">
        <f>6035-6035</f>
        <v>0</v>
      </c>
      <c r="O34" s="51">
        <f>4725+10360-120-4725</f>
        <v>10240</v>
      </c>
      <c r="P34" s="37">
        <v>0</v>
      </c>
      <c r="Q34" s="37">
        <v>0</v>
      </c>
      <c r="R34" s="37">
        <f>3980-3980</f>
        <v>0</v>
      </c>
      <c r="S34" s="37">
        <f>6395+51715-58110</f>
        <v>0</v>
      </c>
      <c r="T34" s="37">
        <v>0</v>
      </c>
      <c r="U34" s="37">
        <v>0</v>
      </c>
      <c r="V34" s="46">
        <f>SUM(E34:U34)</f>
        <v>10240</v>
      </c>
    </row>
    <row r="35" spans="1:22" x14ac:dyDescent="0.25">
      <c r="A35" s="45" t="s">
        <v>60</v>
      </c>
      <c r="B35" s="44" t="s">
        <v>59</v>
      </c>
      <c r="C35" s="43" t="s">
        <v>58</v>
      </c>
      <c r="D35" s="42" t="s">
        <v>17</v>
      </c>
      <c r="E35" s="47">
        <f>1298</f>
        <v>1298</v>
      </c>
      <c r="F35" s="47">
        <v>0</v>
      </c>
      <c r="G35" s="47">
        <v>0</v>
      </c>
      <c r="H35" s="37">
        <v>0</v>
      </c>
      <c r="I35" s="53"/>
      <c r="J35" s="52"/>
      <c r="K35" s="39"/>
      <c r="L35" s="39"/>
      <c r="M35" s="37">
        <v>0</v>
      </c>
      <c r="N35" s="37">
        <v>0</v>
      </c>
      <c r="O35" s="51">
        <v>0</v>
      </c>
      <c r="P35" s="38">
        <v>0</v>
      </c>
      <c r="Q35" s="37">
        <v>0</v>
      </c>
      <c r="R35" s="37">
        <v>0</v>
      </c>
      <c r="S35" s="37">
        <v>0</v>
      </c>
      <c r="T35" s="37">
        <v>0</v>
      </c>
      <c r="U35" s="37">
        <v>0</v>
      </c>
      <c r="V35" s="46">
        <f>SUM(E35:U35)</f>
        <v>1298</v>
      </c>
    </row>
    <row r="36" spans="1:22" x14ac:dyDescent="0.25">
      <c r="A36" s="45" t="s">
        <v>57</v>
      </c>
      <c r="B36" s="44" t="s">
        <v>56</v>
      </c>
      <c r="C36" s="43" t="s">
        <v>55</v>
      </c>
      <c r="D36" s="42" t="s">
        <v>17</v>
      </c>
      <c r="E36" s="47">
        <v>107165</v>
      </c>
      <c r="F36" s="47"/>
      <c r="G36" s="47">
        <v>0</v>
      </c>
      <c r="H36" s="37">
        <v>0</v>
      </c>
      <c r="I36" s="53"/>
      <c r="J36" s="52">
        <v>0</v>
      </c>
      <c r="K36" s="39">
        <v>0</v>
      </c>
      <c r="L36" s="39">
        <v>0</v>
      </c>
      <c r="M36" s="37">
        <v>0</v>
      </c>
      <c r="N36" s="37">
        <v>0</v>
      </c>
      <c r="O36" s="51">
        <v>0</v>
      </c>
      <c r="P36" s="38">
        <v>0</v>
      </c>
      <c r="Q36" s="37">
        <v>0</v>
      </c>
      <c r="R36" s="37">
        <v>0</v>
      </c>
      <c r="S36" s="37">
        <v>0</v>
      </c>
      <c r="T36" s="37">
        <v>0</v>
      </c>
      <c r="U36" s="37">
        <v>0</v>
      </c>
      <c r="V36" s="46">
        <f>SUM(E36:U36)</f>
        <v>107165</v>
      </c>
    </row>
    <row r="37" spans="1:22" x14ac:dyDescent="0.25">
      <c r="A37" s="45" t="s">
        <v>54</v>
      </c>
      <c r="B37" s="44" t="s">
        <v>53</v>
      </c>
      <c r="C37" s="43" t="s">
        <v>52</v>
      </c>
      <c r="D37" s="42" t="s">
        <v>17</v>
      </c>
      <c r="E37" s="47"/>
      <c r="F37" s="47"/>
      <c r="G37" s="37"/>
      <c r="H37" s="37"/>
      <c r="I37" s="53"/>
      <c r="J37" s="52">
        <v>0</v>
      </c>
      <c r="K37" s="39">
        <v>0</v>
      </c>
      <c r="L37" s="39">
        <f>60300-60300</f>
        <v>0</v>
      </c>
      <c r="M37" s="37">
        <v>0</v>
      </c>
      <c r="N37" s="37"/>
      <c r="O37" s="51">
        <f>62100</f>
        <v>62100</v>
      </c>
      <c r="P37" s="38"/>
      <c r="Q37" s="37"/>
      <c r="R37" s="37"/>
      <c r="S37" s="37"/>
      <c r="T37" s="37">
        <v>0</v>
      </c>
      <c r="U37" s="37"/>
      <c r="V37" s="46">
        <f>SUM(E37:U37)</f>
        <v>62100</v>
      </c>
    </row>
    <row r="38" spans="1:22" x14ac:dyDescent="0.25">
      <c r="A38" s="45" t="s">
        <v>51</v>
      </c>
      <c r="B38" s="44" t="s">
        <v>50</v>
      </c>
      <c r="C38" s="43" t="s">
        <v>49</v>
      </c>
      <c r="D38" s="42" t="s">
        <v>17</v>
      </c>
      <c r="E38" s="47">
        <v>5670.28</v>
      </c>
      <c r="F38" s="47"/>
      <c r="G38" s="47"/>
      <c r="H38" s="37">
        <v>0</v>
      </c>
      <c r="I38" s="53"/>
      <c r="J38" s="52"/>
      <c r="K38" s="39"/>
      <c r="L38" s="39"/>
      <c r="M38" s="37">
        <v>0</v>
      </c>
      <c r="N38" s="37">
        <v>0</v>
      </c>
      <c r="O38" s="51">
        <v>0</v>
      </c>
      <c r="P38" s="38">
        <v>0</v>
      </c>
      <c r="Q38" s="37">
        <v>0</v>
      </c>
      <c r="R38" s="37">
        <v>0</v>
      </c>
      <c r="S38" s="37">
        <v>0</v>
      </c>
      <c r="T38" s="37">
        <v>0</v>
      </c>
      <c r="U38" s="37">
        <v>0</v>
      </c>
      <c r="V38" s="46">
        <f>SUM(E38:U38)</f>
        <v>5670.28</v>
      </c>
    </row>
    <row r="39" spans="1:22" x14ac:dyDescent="0.25">
      <c r="A39" s="45" t="s">
        <v>48</v>
      </c>
      <c r="B39" s="44" t="s">
        <v>47</v>
      </c>
      <c r="C39" s="43" t="s">
        <v>40</v>
      </c>
      <c r="D39" s="42" t="s">
        <v>17</v>
      </c>
      <c r="E39" s="47">
        <v>51490</v>
      </c>
      <c r="F39" s="47"/>
      <c r="G39" s="47"/>
      <c r="H39" s="37">
        <v>0</v>
      </c>
      <c r="I39" s="53"/>
      <c r="J39" s="52"/>
      <c r="K39" s="39"/>
      <c r="L39" s="39"/>
      <c r="M39" s="37">
        <v>0</v>
      </c>
      <c r="N39" s="37">
        <v>0</v>
      </c>
      <c r="O39" s="51">
        <v>0</v>
      </c>
      <c r="P39" s="38">
        <v>0</v>
      </c>
      <c r="Q39" s="37">
        <v>0</v>
      </c>
      <c r="R39" s="37">
        <v>0</v>
      </c>
      <c r="S39" s="37">
        <v>0</v>
      </c>
      <c r="T39" s="37">
        <v>0</v>
      </c>
      <c r="U39" s="37">
        <v>0</v>
      </c>
      <c r="V39" s="46">
        <f>SUM(E39:U39)</f>
        <v>51490</v>
      </c>
    </row>
    <row r="40" spans="1:22" x14ac:dyDescent="0.25">
      <c r="A40" s="45" t="s">
        <v>46</v>
      </c>
      <c r="B40" s="44" t="s">
        <v>45</v>
      </c>
      <c r="C40" s="43" t="s">
        <v>30</v>
      </c>
      <c r="D40" s="42" t="s">
        <v>17</v>
      </c>
      <c r="E40" s="47"/>
      <c r="F40" s="47"/>
      <c r="G40" s="47"/>
      <c r="H40" s="54">
        <v>0</v>
      </c>
      <c r="I40" s="53">
        <v>0</v>
      </c>
      <c r="J40" s="52">
        <v>0</v>
      </c>
      <c r="K40" s="39"/>
      <c r="L40" s="39"/>
      <c r="M40" s="37">
        <f>3950-3950</f>
        <v>0</v>
      </c>
      <c r="N40" s="37">
        <f>4000-4000</f>
        <v>0</v>
      </c>
      <c r="O40" s="51">
        <f>6000+4300</f>
        <v>10300</v>
      </c>
      <c r="P40" s="38"/>
      <c r="Q40" s="37"/>
      <c r="R40" s="37">
        <v>0</v>
      </c>
      <c r="S40" s="37"/>
      <c r="T40" s="37">
        <v>0</v>
      </c>
      <c r="U40" s="54">
        <v>0</v>
      </c>
      <c r="V40" s="46">
        <f>SUM(E40:U40)</f>
        <v>10300</v>
      </c>
    </row>
    <row r="41" spans="1:22" x14ac:dyDescent="0.25">
      <c r="A41" s="45" t="s">
        <v>44</v>
      </c>
      <c r="B41" s="44" t="s">
        <v>43</v>
      </c>
      <c r="C41" s="43" t="s">
        <v>40</v>
      </c>
      <c r="D41" s="42" t="s">
        <v>17</v>
      </c>
      <c r="E41" s="47">
        <v>167230.35</v>
      </c>
      <c r="F41" s="47"/>
      <c r="G41" s="47"/>
      <c r="H41" s="37">
        <v>0</v>
      </c>
      <c r="I41" s="53"/>
      <c r="J41" s="52"/>
      <c r="K41" s="39"/>
      <c r="L41" s="39"/>
      <c r="M41" s="37">
        <v>0</v>
      </c>
      <c r="N41" s="37">
        <v>0</v>
      </c>
      <c r="O41" s="51">
        <v>0</v>
      </c>
      <c r="P41" s="38">
        <v>0</v>
      </c>
      <c r="Q41" s="37">
        <v>0</v>
      </c>
      <c r="R41" s="37">
        <v>0</v>
      </c>
      <c r="S41" s="37">
        <v>0</v>
      </c>
      <c r="T41" s="37">
        <v>0</v>
      </c>
      <c r="U41" s="37">
        <v>0</v>
      </c>
      <c r="V41" s="46">
        <f>SUM(E41:U41)</f>
        <v>167230.35</v>
      </c>
    </row>
    <row r="42" spans="1:22" x14ac:dyDescent="0.25">
      <c r="A42" s="45" t="s">
        <v>42</v>
      </c>
      <c r="B42" s="44" t="s">
        <v>41</v>
      </c>
      <c r="C42" s="43" t="s">
        <v>40</v>
      </c>
      <c r="D42" s="42" t="s">
        <v>39</v>
      </c>
      <c r="E42" s="47"/>
      <c r="F42" s="47"/>
      <c r="G42" s="47">
        <v>0</v>
      </c>
      <c r="H42" s="37">
        <v>0</v>
      </c>
      <c r="I42" s="53">
        <f>246100-246100</f>
        <v>0</v>
      </c>
      <c r="J42" s="52">
        <v>0</v>
      </c>
      <c r="K42" s="39">
        <v>0</v>
      </c>
      <c r="L42" s="39">
        <v>0</v>
      </c>
      <c r="M42" s="37">
        <f>246200+15960-262160</f>
        <v>0</v>
      </c>
      <c r="N42" s="37">
        <f>131500-131500</f>
        <v>0</v>
      </c>
      <c r="O42" s="51">
        <f>7000</f>
        <v>7000</v>
      </c>
      <c r="P42" s="37">
        <v>0</v>
      </c>
      <c r="Q42" s="37">
        <f>79700-79700</f>
        <v>0</v>
      </c>
      <c r="R42" s="37">
        <v>0</v>
      </c>
      <c r="S42" s="37">
        <v>0</v>
      </c>
      <c r="T42" s="37">
        <v>0</v>
      </c>
      <c r="U42" s="37">
        <v>0</v>
      </c>
      <c r="V42" s="46">
        <f>SUM(E42:U42)</f>
        <v>7000</v>
      </c>
    </row>
    <row r="43" spans="1:22" x14ac:dyDescent="0.25">
      <c r="A43" s="45" t="s">
        <v>38</v>
      </c>
      <c r="B43" s="44" t="s">
        <v>37</v>
      </c>
      <c r="C43" s="43" t="s">
        <v>36</v>
      </c>
      <c r="D43" s="42" t="s">
        <v>17</v>
      </c>
      <c r="E43" s="49"/>
      <c r="F43" s="47">
        <v>0</v>
      </c>
      <c r="G43" s="37">
        <v>0</v>
      </c>
      <c r="H43" s="37">
        <v>0</v>
      </c>
      <c r="I43" s="48">
        <v>0</v>
      </c>
      <c r="J43" s="40">
        <v>0</v>
      </c>
      <c r="K43" s="39">
        <v>0</v>
      </c>
      <c r="L43" s="39">
        <v>0</v>
      </c>
      <c r="M43" s="37">
        <v>0</v>
      </c>
      <c r="N43" s="37">
        <v>0</v>
      </c>
      <c r="O43" s="51">
        <f>11253.2+33479.55+650+32781-44732.75</f>
        <v>33431</v>
      </c>
      <c r="P43" s="37">
        <v>0</v>
      </c>
      <c r="Q43" s="37">
        <v>0</v>
      </c>
      <c r="R43" s="37">
        <v>0</v>
      </c>
      <c r="S43" s="37">
        <v>0</v>
      </c>
      <c r="T43" s="37">
        <v>0</v>
      </c>
      <c r="U43" s="37">
        <v>0</v>
      </c>
      <c r="V43" s="46">
        <f>SUM(E43:U43)</f>
        <v>33431</v>
      </c>
    </row>
    <row r="44" spans="1:22" ht="18" customHeight="1" x14ac:dyDescent="0.25">
      <c r="A44" s="45" t="s">
        <v>35</v>
      </c>
      <c r="B44" s="44" t="s">
        <v>34</v>
      </c>
      <c r="C44" s="43" t="s">
        <v>33</v>
      </c>
      <c r="D44" s="42" t="s">
        <v>17</v>
      </c>
      <c r="E44" s="49"/>
      <c r="F44" s="47"/>
      <c r="G44" s="37">
        <v>0</v>
      </c>
      <c r="H44" s="37">
        <f>57400-4500-52900</f>
        <v>0</v>
      </c>
      <c r="I44" s="48">
        <v>0</v>
      </c>
      <c r="J44" s="40">
        <v>0</v>
      </c>
      <c r="K44" s="39">
        <v>0</v>
      </c>
      <c r="L44" s="39">
        <f>114010.5-114010.5</f>
        <v>0</v>
      </c>
      <c r="M44" s="37">
        <f>74999.99-74999.99</f>
        <v>0</v>
      </c>
      <c r="N44" s="37">
        <f>72531.2-72531.2</f>
        <v>0</v>
      </c>
      <c r="O44" s="37">
        <f>112977+77800-112977</f>
        <v>77800</v>
      </c>
      <c r="P44" s="37">
        <v>0</v>
      </c>
      <c r="Q44" s="37">
        <v>0</v>
      </c>
      <c r="R44" s="37">
        <f>86665-86665</f>
        <v>0</v>
      </c>
      <c r="S44" s="37">
        <v>0</v>
      </c>
      <c r="T44" s="37">
        <v>0</v>
      </c>
      <c r="U44" s="50">
        <v>0</v>
      </c>
      <c r="V44" s="46">
        <f>SUM(E44:U44)</f>
        <v>77800</v>
      </c>
    </row>
    <row r="45" spans="1:22" ht="18" customHeight="1" x14ac:dyDescent="0.25">
      <c r="A45" s="45" t="s">
        <v>32</v>
      </c>
      <c r="B45" s="44" t="s">
        <v>31</v>
      </c>
      <c r="C45" s="43" t="s">
        <v>30</v>
      </c>
      <c r="D45" s="42" t="s">
        <v>17</v>
      </c>
      <c r="E45" s="49"/>
      <c r="F45" s="47"/>
      <c r="G45" s="37"/>
      <c r="H45" s="37"/>
      <c r="I45" s="48"/>
      <c r="J45" s="40"/>
      <c r="K45" s="39"/>
      <c r="L45" s="39"/>
      <c r="M45" s="37"/>
      <c r="N45" s="37">
        <f>81668.73-81668.73</f>
        <v>0</v>
      </c>
      <c r="O45" s="37">
        <f>240106.68+125002.18-7358.48+14498.99+33719.24-357750.38</f>
        <v>48218.229999999981</v>
      </c>
      <c r="P45" s="37"/>
      <c r="Q45" s="37">
        <f>206807.77+43657.76-250465.53</f>
        <v>0</v>
      </c>
      <c r="R45" s="37">
        <v>0</v>
      </c>
      <c r="S45" s="37"/>
      <c r="T45" s="37"/>
      <c r="U45" s="50"/>
      <c r="V45" s="46">
        <f>SUM(E45:U45)</f>
        <v>48218.229999999981</v>
      </c>
    </row>
    <row r="46" spans="1:22" ht="15.75" customHeight="1" x14ac:dyDescent="0.25">
      <c r="A46" s="45" t="s">
        <v>29</v>
      </c>
      <c r="B46" s="44" t="s">
        <v>28</v>
      </c>
      <c r="C46" s="43" t="s">
        <v>27</v>
      </c>
      <c r="D46" s="42" t="s">
        <v>17</v>
      </c>
      <c r="E46" s="49"/>
      <c r="F46" s="47"/>
      <c r="G46" s="37">
        <v>0</v>
      </c>
      <c r="H46" s="37">
        <v>0</v>
      </c>
      <c r="I46" s="48"/>
      <c r="J46" s="40">
        <v>0</v>
      </c>
      <c r="K46" s="39"/>
      <c r="L46" s="39"/>
      <c r="M46" s="37">
        <f>119793.6-119793.6</f>
        <v>0</v>
      </c>
      <c r="N46" s="37"/>
      <c r="O46" s="37">
        <f>76331.25</f>
        <v>76331.25</v>
      </c>
      <c r="P46" s="38"/>
      <c r="Q46" s="37">
        <v>0</v>
      </c>
      <c r="R46" s="37"/>
      <c r="S46" s="37"/>
      <c r="T46" s="37"/>
      <c r="U46" s="37">
        <v>0</v>
      </c>
      <c r="V46" s="46">
        <f>SUM(E46:U46)</f>
        <v>76331.25</v>
      </c>
    </row>
    <row r="47" spans="1:22" ht="16.5" customHeight="1" x14ac:dyDescent="0.25">
      <c r="A47" s="45" t="s">
        <v>26</v>
      </c>
      <c r="B47" s="44" t="s">
        <v>25</v>
      </c>
      <c r="C47" s="43" t="s">
        <v>24</v>
      </c>
      <c r="D47" s="42" t="s">
        <v>17</v>
      </c>
      <c r="E47" s="47">
        <f>13455</f>
        <v>13455</v>
      </c>
      <c r="F47" s="47"/>
      <c r="G47" s="47"/>
      <c r="H47" s="37">
        <v>0</v>
      </c>
      <c r="I47" s="40"/>
      <c r="J47" s="40"/>
      <c r="K47" s="39"/>
      <c r="L47" s="39"/>
      <c r="M47" s="37">
        <v>0</v>
      </c>
      <c r="N47" s="37">
        <v>0</v>
      </c>
      <c r="O47" s="38">
        <v>0</v>
      </c>
      <c r="P47" s="38">
        <v>0</v>
      </c>
      <c r="Q47" s="37">
        <v>0</v>
      </c>
      <c r="R47" s="37">
        <v>0</v>
      </c>
      <c r="S47" s="37">
        <v>0</v>
      </c>
      <c r="T47" s="37">
        <v>0</v>
      </c>
      <c r="U47" s="37">
        <v>0</v>
      </c>
      <c r="V47" s="46">
        <f>SUM(E47:U47)</f>
        <v>13455</v>
      </c>
    </row>
    <row r="48" spans="1:22" x14ac:dyDescent="0.25">
      <c r="A48" s="45" t="s">
        <v>23</v>
      </c>
      <c r="B48" s="44" t="s">
        <v>22</v>
      </c>
      <c r="C48" s="43" t="s">
        <v>21</v>
      </c>
      <c r="D48" s="42" t="s">
        <v>17</v>
      </c>
      <c r="E48" s="47">
        <f>1800</f>
        <v>1800</v>
      </c>
      <c r="F48" s="47"/>
      <c r="G48" s="47"/>
      <c r="H48" s="37">
        <v>0</v>
      </c>
      <c r="I48" s="40"/>
      <c r="J48" s="40"/>
      <c r="K48" s="39"/>
      <c r="L48" s="39"/>
      <c r="M48" s="37">
        <v>0</v>
      </c>
      <c r="N48" s="37">
        <v>0</v>
      </c>
      <c r="O48" s="37">
        <v>0</v>
      </c>
      <c r="P48" s="38">
        <v>0</v>
      </c>
      <c r="Q48" s="37">
        <v>0</v>
      </c>
      <c r="R48" s="37">
        <v>0</v>
      </c>
      <c r="S48" s="37">
        <v>0</v>
      </c>
      <c r="T48" s="37">
        <v>0</v>
      </c>
      <c r="U48" s="37">
        <v>0</v>
      </c>
      <c r="V48" s="46">
        <f>SUM(E48:U48)</f>
        <v>1800</v>
      </c>
    </row>
    <row r="49" spans="1:24" ht="15.75" thickBot="1" x14ac:dyDescent="0.3">
      <c r="A49" s="45" t="s">
        <v>20</v>
      </c>
      <c r="B49" s="44" t="s">
        <v>19</v>
      </c>
      <c r="C49" s="43" t="s">
        <v>18</v>
      </c>
      <c r="D49" s="42" t="s">
        <v>17</v>
      </c>
      <c r="E49" s="41">
        <f>50088.44</f>
        <v>50088.44</v>
      </c>
      <c r="F49" s="41"/>
      <c r="G49" s="41"/>
      <c r="H49" s="37">
        <v>0</v>
      </c>
      <c r="I49" s="40"/>
      <c r="J49" s="40"/>
      <c r="K49" s="39"/>
      <c r="L49" s="39"/>
      <c r="M49" s="37">
        <v>0</v>
      </c>
      <c r="N49" s="37">
        <v>0</v>
      </c>
      <c r="O49" s="37">
        <v>0</v>
      </c>
      <c r="P49" s="38">
        <v>0</v>
      </c>
      <c r="Q49" s="37">
        <v>0</v>
      </c>
      <c r="R49" s="37">
        <v>0</v>
      </c>
      <c r="S49" s="37">
        <v>0</v>
      </c>
      <c r="T49" s="37">
        <v>0</v>
      </c>
      <c r="U49" s="37">
        <v>0</v>
      </c>
      <c r="V49" s="36">
        <f>SUM(E49:U49)</f>
        <v>50088.44</v>
      </c>
    </row>
    <row r="50" spans="1:24" ht="15.75" thickBot="1" x14ac:dyDescent="0.3">
      <c r="A50" s="35" t="s">
        <v>16</v>
      </c>
      <c r="B50" s="34"/>
      <c r="C50" s="34"/>
      <c r="D50" s="34"/>
      <c r="E50" s="33">
        <f>SUM(E7:E49)</f>
        <v>1734190.21</v>
      </c>
      <c r="F50" s="33">
        <f>SUM(F7:F49)</f>
        <v>0</v>
      </c>
      <c r="G50" s="33">
        <f>SUM(G7:G49)</f>
        <v>0</v>
      </c>
      <c r="H50" s="33">
        <f>SUM(H7:H49)</f>
        <v>0</v>
      </c>
      <c r="I50" s="33">
        <f>SUM(I7:I49)</f>
        <v>0</v>
      </c>
      <c r="J50" s="33">
        <f>SUM(J7:J49)</f>
        <v>0</v>
      </c>
      <c r="K50" s="33">
        <f>SUM(K7:K49)</f>
        <v>0</v>
      </c>
      <c r="L50" s="33">
        <f>SUM(L7:L49)</f>
        <v>0</v>
      </c>
      <c r="M50" s="33">
        <f>SUM(M7:M49)</f>
        <v>0</v>
      </c>
      <c r="N50" s="33">
        <f>SUM(N7:N49)</f>
        <v>0</v>
      </c>
      <c r="O50" s="33">
        <f>SUM(O7:O49)</f>
        <v>1740972.0699999998</v>
      </c>
      <c r="P50" s="33">
        <f>SUM(P7:P49)</f>
        <v>0</v>
      </c>
      <c r="Q50" s="33">
        <f>SUM(Q7:Q49)</f>
        <v>0</v>
      </c>
      <c r="R50" s="33">
        <f>SUM(R7:R49)</f>
        <v>0</v>
      </c>
      <c r="S50" s="33">
        <f>SUM(S7:S49)</f>
        <v>0</v>
      </c>
      <c r="T50" s="33">
        <f>SUM(T7:T49)</f>
        <v>135582</v>
      </c>
      <c r="U50" s="33">
        <f>SUM(U7:U49)</f>
        <v>0</v>
      </c>
      <c r="V50" s="32">
        <f>SUM(V7:V49)</f>
        <v>3475162.28</v>
      </c>
      <c r="X50" s="31"/>
    </row>
    <row r="51" spans="1:24" x14ac:dyDescent="0.25">
      <c r="A51" s="7"/>
      <c r="B51" s="7"/>
      <c r="C51" s="7"/>
      <c r="D51" s="7"/>
      <c r="E51" s="7"/>
      <c r="F51" s="7"/>
      <c r="G51" s="7"/>
      <c r="H51" s="7"/>
      <c r="I51" s="7"/>
      <c r="J51" s="7"/>
      <c r="K51" s="30"/>
      <c r="L51" s="30"/>
      <c r="M51" s="7"/>
      <c r="N51" s="7"/>
      <c r="O51" s="7"/>
      <c r="P51" s="7"/>
      <c r="Q51" s="7"/>
      <c r="R51" s="7"/>
      <c r="S51" s="7"/>
      <c r="T51" s="7"/>
      <c r="U51" s="7"/>
      <c r="V51" s="7"/>
    </row>
    <row r="52" spans="1:24" x14ac:dyDescent="0.25">
      <c r="A52" s="7"/>
      <c r="B52" s="7"/>
      <c r="C52" s="7"/>
      <c r="D52" s="7"/>
      <c r="E52" s="7"/>
      <c r="F52" s="7"/>
      <c r="G52" s="7"/>
      <c r="H52" s="7"/>
      <c r="I52" s="7"/>
      <c r="J52" s="7"/>
      <c r="K52" s="30"/>
      <c r="L52" s="30"/>
      <c r="M52" s="7"/>
      <c r="N52" s="7"/>
      <c r="O52" s="7"/>
      <c r="P52" s="7"/>
      <c r="Q52" s="7"/>
      <c r="R52" s="7"/>
      <c r="S52" s="7"/>
      <c r="T52" s="7"/>
      <c r="U52" s="7"/>
      <c r="V52" s="7"/>
    </row>
    <row r="53" spans="1:24" x14ac:dyDescent="0.25">
      <c r="A53" s="7"/>
      <c r="B53" s="7"/>
      <c r="C53" s="7"/>
      <c r="D53" s="7"/>
      <c r="E53" s="7"/>
      <c r="F53" s="7"/>
      <c r="G53" s="7"/>
      <c r="H53" s="7"/>
      <c r="I53" s="7"/>
      <c r="J53" s="7"/>
      <c r="K53" s="30"/>
      <c r="L53" s="30"/>
      <c r="M53" s="7"/>
      <c r="N53" s="7"/>
      <c r="O53" s="7"/>
      <c r="P53" s="7"/>
      <c r="Q53" s="7"/>
      <c r="R53" s="7"/>
      <c r="S53" s="7"/>
      <c r="T53" s="7"/>
      <c r="U53" s="7"/>
      <c r="V53" s="7"/>
    </row>
    <row r="54" spans="1:24" x14ac:dyDescent="0.25">
      <c r="A54" s="7"/>
      <c r="B54" s="7"/>
      <c r="C54" s="7"/>
      <c r="D54" s="7"/>
      <c r="E54" s="7"/>
      <c r="F54" s="7"/>
      <c r="G54" s="7"/>
      <c r="H54" s="7"/>
      <c r="I54" s="7"/>
      <c r="J54" s="7"/>
      <c r="K54" s="30"/>
      <c r="L54" s="30"/>
      <c r="M54" s="7"/>
      <c r="N54" s="7"/>
      <c r="O54" s="7"/>
      <c r="P54" s="7"/>
      <c r="Q54" s="7"/>
      <c r="R54" s="7"/>
      <c r="S54" s="7"/>
      <c r="T54" s="7"/>
      <c r="U54" s="7"/>
      <c r="V54" s="7"/>
    </row>
    <row r="55" spans="1:24" x14ac:dyDescent="0.25">
      <c r="A55" s="7"/>
      <c r="B55" s="7"/>
      <c r="C55" s="7"/>
      <c r="D55" s="7"/>
      <c r="K55" s="29"/>
      <c r="L55" s="28"/>
      <c r="M55" s="26"/>
      <c r="N55" s="26"/>
      <c r="O55" s="26"/>
      <c r="P55" s="26"/>
      <c r="Q55" s="26"/>
      <c r="R55" s="26"/>
      <c r="S55" s="26"/>
      <c r="T55" s="26"/>
      <c r="U55" s="26"/>
      <c r="V55" s="27"/>
      <c r="W55" s="26"/>
    </row>
    <row r="56" spans="1:24" x14ac:dyDescent="0.25">
      <c r="A56" s="7"/>
      <c r="B56" s="25" t="s">
        <v>15</v>
      </c>
      <c r="C56" s="24" t="s">
        <v>14</v>
      </c>
      <c r="D56" s="24"/>
      <c r="E56" s="23"/>
      <c r="F56" s="22"/>
      <c r="G56" s="22"/>
      <c r="H56" s="22"/>
      <c r="I56" s="4"/>
      <c r="K56" s="21"/>
      <c r="L56" s="21"/>
      <c r="M56" s="8" t="s">
        <v>13</v>
      </c>
      <c r="N56" s="8"/>
      <c r="O56" s="8" t="s">
        <v>12</v>
      </c>
      <c r="P56" s="8"/>
      <c r="Q56" s="8"/>
      <c r="R56" s="8"/>
      <c r="S56" s="8"/>
      <c r="T56" s="8"/>
      <c r="U56" s="8"/>
      <c r="V56" s="8"/>
      <c r="W56" s="8"/>
    </row>
    <row r="57" spans="1:24" x14ac:dyDescent="0.25">
      <c r="A57" s="17"/>
      <c r="B57" s="16" t="s">
        <v>11</v>
      </c>
      <c r="C57" s="15" t="s">
        <v>10</v>
      </c>
      <c r="D57" s="15"/>
      <c r="E57" s="14"/>
      <c r="F57" s="14"/>
      <c r="G57" s="14"/>
      <c r="H57" s="14"/>
      <c r="I57" s="14"/>
      <c r="J57" s="20"/>
      <c r="K57" s="19"/>
      <c r="L57" s="11"/>
      <c r="M57" s="10" t="s">
        <v>9</v>
      </c>
      <c r="N57" s="10"/>
      <c r="O57" s="8" t="s">
        <v>8</v>
      </c>
      <c r="P57" s="8"/>
      <c r="Q57" s="8"/>
      <c r="R57" s="8"/>
      <c r="S57" s="8"/>
      <c r="T57" s="18"/>
      <c r="U57" s="8"/>
      <c r="V57" s="8"/>
      <c r="W57" s="18"/>
    </row>
    <row r="58" spans="1:24" ht="15.75" customHeight="1" x14ac:dyDescent="0.25">
      <c r="A58" s="17"/>
      <c r="B58" s="16" t="s">
        <v>7</v>
      </c>
      <c r="C58" s="15" t="s">
        <v>6</v>
      </c>
      <c r="D58" s="15"/>
      <c r="E58" s="14"/>
      <c r="F58" s="14"/>
      <c r="G58" s="14"/>
      <c r="H58" s="14"/>
      <c r="I58" s="14"/>
      <c r="J58" s="13"/>
      <c r="K58" s="12"/>
      <c r="L58" s="11"/>
      <c r="M58" s="10" t="s">
        <v>5</v>
      </c>
      <c r="N58" s="10"/>
      <c r="O58" s="10" t="s">
        <v>5</v>
      </c>
      <c r="P58" s="10"/>
      <c r="Q58" s="8"/>
      <c r="R58" s="10"/>
      <c r="S58" s="8"/>
      <c r="T58" s="10"/>
      <c r="U58" s="10"/>
      <c r="V58" s="8"/>
      <c r="W58" s="10"/>
    </row>
    <row r="59" spans="1:24" x14ac:dyDescent="0.25">
      <c r="A59" s="7"/>
      <c r="B59" s="7"/>
      <c r="C59" s="7"/>
      <c r="D59" s="7"/>
      <c r="K59" s="9"/>
      <c r="L59" s="9"/>
      <c r="M59" s="8"/>
      <c r="N59" s="8"/>
      <c r="O59" s="8"/>
      <c r="P59" s="8"/>
      <c r="Q59" s="8"/>
      <c r="R59" s="8"/>
      <c r="S59" s="8"/>
      <c r="T59" s="8"/>
      <c r="U59" s="8"/>
      <c r="V59" s="8"/>
    </row>
    <row r="60" spans="1:24" x14ac:dyDescent="0.25">
      <c r="A60" s="7"/>
      <c r="B60" s="7"/>
      <c r="C60" s="7"/>
      <c r="D60" s="7"/>
    </row>
    <row r="63" spans="1:24" x14ac:dyDescent="0.25">
      <c r="B63" s="4" t="s">
        <v>4</v>
      </c>
      <c r="C63" s="3"/>
      <c r="D63" s="3"/>
      <c r="E63" s="6">
        <f>V50</f>
        <v>3475162.28</v>
      </c>
      <c r="O63" t="s">
        <v>3</v>
      </c>
    </row>
    <row r="64" spans="1:24" x14ac:dyDescent="0.25">
      <c r="B64" s="4" t="s">
        <v>2</v>
      </c>
      <c r="C64" s="3"/>
      <c r="D64" s="3"/>
      <c r="E64" s="5">
        <v>1734190.21</v>
      </c>
    </row>
    <row r="65" spans="2:5" ht="15.75" thickBot="1" x14ac:dyDescent="0.3">
      <c r="B65" s="4" t="s">
        <v>1</v>
      </c>
      <c r="C65" s="3"/>
      <c r="D65" s="3"/>
      <c r="E65" s="2">
        <f>E63-E64</f>
        <v>1740972.0699999998</v>
      </c>
    </row>
    <row r="66" spans="2:5" ht="15.75" thickTop="1" x14ac:dyDescent="0.25"/>
    <row r="106" spans="8:8" ht="15.75" x14ac:dyDescent="0.25">
      <c r="H106" s="1" t="s">
        <v>0</v>
      </c>
    </row>
    <row r="308" spans="9:9" x14ac:dyDescent="0.25">
      <c r="I308">
        <f>I300+I301+I302+I303+I304+I305+I306+I307</f>
        <v>0</v>
      </c>
    </row>
    <row r="537" spans="9:9" x14ac:dyDescent="0.25">
      <c r="I537">
        <f>SUM(I521:I536)</f>
        <v>0</v>
      </c>
    </row>
    <row r="889" spans="9:9" x14ac:dyDescent="0.25">
      <c r="I889">
        <f>SUM(I873:I888)</f>
        <v>0</v>
      </c>
    </row>
  </sheetData>
  <mergeCells count="8">
    <mergeCell ref="C58:D58"/>
    <mergeCell ref="E58:I58"/>
    <mergeCell ref="A50:D50"/>
    <mergeCell ref="C56:D56"/>
    <mergeCell ref="F56:H56"/>
    <mergeCell ref="K56:L56"/>
    <mergeCell ref="C57:D57"/>
    <mergeCell ref="E57:I57"/>
  </mergeCells>
  <pageMargins left="0.31496062992125984" right="0.31496062992125984" top="0.74803149606299213" bottom="0.74803149606299213" header="0.31496062992125984" footer="0.31496062992125984"/>
  <pageSetup scale="95" orientation="portrait" horizontalDpi="0" verticalDpi="0" r:id="rId1"/>
  <rowBreaks count="1" manualBreakCount="1">
    <brk id="45" max="2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CUENTAS POR PAGAR</vt:lpstr>
      <vt:lpstr>'CUENTAS POR PAGAR'!Área_de_impresión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 HRILLB</dc:creator>
  <cp:lastModifiedBy>ADMIN HRILLB</cp:lastModifiedBy>
  <dcterms:created xsi:type="dcterms:W3CDTF">2025-10-25T18:10:48Z</dcterms:created>
  <dcterms:modified xsi:type="dcterms:W3CDTF">2025-10-25T18:13:59Z</dcterms:modified>
</cp:coreProperties>
</file>